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20" yWindow="120" windowWidth="21540" windowHeight="12660"/>
  </bookViews>
  <sheets>
    <sheet name="стр.1_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стр.1_4!$A$1:$S$457</definedName>
  </definedNames>
  <calcPr calcId="145621"/>
</workbook>
</file>

<file path=xl/calcChain.xml><?xml version="1.0" encoding="utf-8"?>
<calcChain xmlns="http://schemas.openxmlformats.org/spreadsheetml/2006/main">
  <c r="J369" i="1" l="1"/>
  <c r="I301" i="1" l="1"/>
  <c r="J294" i="1"/>
  <c r="J300" i="1" s="1"/>
  <c r="I294" i="1"/>
  <c r="I300" i="1" s="1"/>
  <c r="I286" i="1"/>
  <c r="J285" i="1"/>
  <c r="I285" i="1"/>
  <c r="J284" i="1"/>
  <c r="J251" i="1"/>
  <c r="I251" i="1"/>
  <c r="I248" i="1"/>
  <c r="J246" i="1"/>
  <c r="I246" i="1"/>
  <c r="I238" i="1"/>
  <c r="J234" i="1"/>
  <c r="I234" i="1"/>
  <c r="J233" i="1"/>
  <c r="I233" i="1"/>
  <c r="J232" i="1"/>
  <c r="I232" i="1"/>
  <c r="J229" i="1"/>
  <c r="I229" i="1"/>
  <c r="J228" i="1"/>
  <c r="I228" i="1"/>
  <c r="J222" i="1"/>
  <c r="I222" i="1"/>
  <c r="J221" i="1"/>
  <c r="I221" i="1"/>
  <c r="J220" i="1"/>
  <c r="J231" i="1" s="1"/>
  <c r="I220" i="1"/>
  <c r="I231" i="1" s="1"/>
  <c r="I212" i="1"/>
  <c r="J208" i="1"/>
  <c r="I208" i="1"/>
  <c r="J207" i="1"/>
  <c r="I207" i="1"/>
  <c r="J201" i="1"/>
  <c r="J200" i="1"/>
  <c r="J240" i="1" s="1"/>
  <c r="I200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89" i="1"/>
  <c r="I189" i="1"/>
  <c r="J188" i="1"/>
  <c r="I188" i="1"/>
  <c r="J186" i="1"/>
  <c r="I186" i="1"/>
  <c r="J185" i="1"/>
  <c r="I185" i="1"/>
  <c r="J184" i="1"/>
  <c r="J199" i="1" s="1"/>
  <c r="I184" i="1"/>
  <c r="I199" i="1" s="1"/>
  <c r="J181" i="1"/>
  <c r="I181" i="1"/>
  <c r="J173" i="1"/>
  <c r="J302" i="1" s="1"/>
  <c r="J310" i="1" s="1"/>
  <c r="I173" i="1"/>
  <c r="I302" i="1" s="1"/>
  <c r="I310" i="1" s="1"/>
  <c r="J164" i="1"/>
  <c r="I164" i="1"/>
  <c r="I240" i="1" l="1"/>
  <c r="I182" i="1"/>
  <c r="I241" i="1"/>
  <c r="I219" i="1"/>
  <c r="J182" i="1"/>
  <c r="J241" i="1"/>
  <c r="J219" i="1"/>
  <c r="J243" i="1" l="1"/>
  <c r="I243" i="1"/>
  <c r="I239" i="1"/>
  <c r="J239" i="1"/>
  <c r="I247" i="1" l="1"/>
  <c r="I245" i="1"/>
  <c r="J245" i="1"/>
  <c r="J247" i="1"/>
  <c r="I249" i="1" l="1"/>
  <c r="J248" i="1" l="1"/>
  <c r="J249" i="1" l="1"/>
  <c r="M301" i="1" l="1"/>
  <c r="K300" i="1"/>
  <c r="O295" i="1"/>
  <c r="Q295" i="1" s="1"/>
  <c r="O294" i="1"/>
  <c r="Q294" i="1" s="1"/>
  <c r="O293" i="1"/>
  <c r="Q293" i="1" s="1"/>
  <c r="M293" i="1"/>
  <c r="M292" i="1"/>
  <c r="M300" i="1" s="1"/>
  <c r="Q291" i="1"/>
  <c r="O291" i="1"/>
  <c r="M291" i="1"/>
  <c r="Q285" i="1"/>
  <c r="M285" i="1"/>
  <c r="O284" i="1"/>
  <c r="O285" i="1" s="1"/>
  <c r="M284" i="1"/>
  <c r="K284" i="1"/>
  <c r="K285" i="1" s="1"/>
  <c r="O268" i="1"/>
  <c r="Q268" i="1" s="1"/>
  <c r="Q251" i="1" s="1"/>
  <c r="M268" i="1"/>
  <c r="M251" i="1"/>
  <c r="K251" i="1"/>
  <c r="Q246" i="1"/>
  <c r="O246" i="1"/>
  <c r="M246" i="1"/>
  <c r="K246" i="1"/>
  <c r="Q234" i="1"/>
  <c r="O234" i="1"/>
  <c r="M234" i="1"/>
  <c r="K234" i="1"/>
  <c r="Q233" i="1"/>
  <c r="O233" i="1"/>
  <c r="M233" i="1"/>
  <c r="K233" i="1"/>
  <c r="Q232" i="1"/>
  <c r="O232" i="1"/>
  <c r="M232" i="1"/>
  <c r="K232" i="1"/>
  <c r="Q229" i="1"/>
  <c r="O229" i="1"/>
  <c r="M229" i="1"/>
  <c r="K229" i="1"/>
  <c r="Q228" i="1"/>
  <c r="O228" i="1"/>
  <c r="M228" i="1"/>
  <c r="K228" i="1"/>
  <c r="Q225" i="1"/>
  <c r="O225" i="1"/>
  <c r="M225" i="1"/>
  <c r="K225" i="1"/>
  <c r="Q222" i="1"/>
  <c r="O222" i="1"/>
  <c r="M222" i="1"/>
  <c r="K222" i="1"/>
  <c r="Q221" i="1"/>
  <c r="O221" i="1"/>
  <c r="M221" i="1"/>
  <c r="K221" i="1"/>
  <c r="Q220" i="1"/>
  <c r="Q231" i="1" s="1"/>
  <c r="Q219" i="1" s="1"/>
  <c r="Q243" i="1" s="1"/>
  <c r="Q245" i="1" s="1"/>
  <c r="O220" i="1"/>
  <c r="O231" i="1" s="1"/>
  <c r="O219" i="1" s="1"/>
  <c r="O243" i="1" s="1"/>
  <c r="O245" i="1" s="1"/>
  <c r="M220" i="1"/>
  <c r="M231" i="1" s="1"/>
  <c r="M219" i="1" s="1"/>
  <c r="M243" i="1" s="1"/>
  <c r="M245" i="1" s="1"/>
  <c r="K220" i="1"/>
  <c r="K231" i="1" s="1"/>
  <c r="K219" i="1" s="1"/>
  <c r="K243" i="1" s="1"/>
  <c r="K245" i="1" s="1"/>
  <c r="K208" i="1"/>
  <c r="K207" i="1" s="1"/>
  <c r="Q200" i="1"/>
  <c r="O200" i="1"/>
  <c r="M200" i="1"/>
  <c r="K200" i="1"/>
  <c r="Q198" i="1"/>
  <c r="O198" i="1"/>
  <c r="M198" i="1"/>
  <c r="K198" i="1"/>
  <c r="Q197" i="1"/>
  <c r="O197" i="1"/>
  <c r="M197" i="1"/>
  <c r="K197" i="1"/>
  <c r="Q196" i="1"/>
  <c r="O196" i="1"/>
  <c r="M196" i="1"/>
  <c r="K196" i="1"/>
  <c r="Q195" i="1"/>
  <c r="O195" i="1"/>
  <c r="M195" i="1"/>
  <c r="K195" i="1"/>
  <c r="Q194" i="1"/>
  <c r="O194" i="1"/>
  <c r="M194" i="1"/>
  <c r="K194" i="1"/>
  <c r="Q193" i="1"/>
  <c r="O193" i="1"/>
  <c r="M193" i="1"/>
  <c r="K193" i="1"/>
  <c r="Q192" i="1"/>
  <c r="O192" i="1"/>
  <c r="M192" i="1"/>
  <c r="K192" i="1"/>
  <c r="Q191" i="1"/>
  <c r="O191" i="1"/>
  <c r="M191" i="1"/>
  <c r="K191" i="1"/>
  <c r="Q189" i="1"/>
  <c r="O189" i="1"/>
  <c r="M189" i="1"/>
  <c r="K189" i="1"/>
  <c r="Q188" i="1"/>
  <c r="O188" i="1"/>
  <c r="M188" i="1"/>
  <c r="K188" i="1"/>
  <c r="Q186" i="1"/>
  <c r="O186" i="1"/>
  <c r="M186" i="1"/>
  <c r="K186" i="1"/>
  <c r="Q185" i="1"/>
  <c r="O185" i="1"/>
  <c r="M185" i="1"/>
  <c r="K185" i="1"/>
  <c r="Q184" i="1"/>
  <c r="Q199" i="1" s="1"/>
  <c r="Q182" i="1" s="1"/>
  <c r="O184" i="1"/>
  <c r="O199" i="1" s="1"/>
  <c r="O182" i="1" s="1"/>
  <c r="M184" i="1"/>
  <c r="M199" i="1" s="1"/>
  <c r="M182" i="1" s="1"/>
  <c r="K184" i="1"/>
  <c r="K199" i="1" s="1"/>
  <c r="K182" i="1" s="1"/>
  <c r="Q181" i="1"/>
  <c r="O181" i="1"/>
  <c r="M181" i="1"/>
  <c r="K181" i="1"/>
  <c r="K173" i="1"/>
  <c r="K164" i="1" l="1"/>
  <c r="K239" i="1" s="1"/>
  <c r="K247" i="1"/>
  <c r="K240" i="1"/>
  <c r="K241" i="1" s="1"/>
  <c r="O251" i="1"/>
  <c r="O292" i="1"/>
  <c r="O300" i="1" l="1"/>
  <c r="O301" i="1" s="1"/>
  <c r="Q292" i="1"/>
  <c r="Q300" i="1" s="1"/>
  <c r="Q301" i="1" s="1"/>
  <c r="M66" i="1" l="1"/>
  <c r="M404" i="1" s="1"/>
  <c r="M395" i="1" l="1"/>
  <c r="M396" i="1"/>
  <c r="M29" i="1" l="1"/>
  <c r="Q29" i="1" l="1"/>
  <c r="O29" i="1"/>
  <c r="M130" i="1" l="1"/>
  <c r="Q57" i="1" l="1"/>
  <c r="O57" i="1"/>
  <c r="M57" i="1"/>
  <c r="K57" i="1"/>
  <c r="Q105" i="1"/>
  <c r="Q104" i="1"/>
  <c r="Q103" i="1"/>
  <c r="Q102" i="1"/>
  <c r="Q101" i="1"/>
  <c r="Q99" i="1"/>
  <c r="Q98" i="1"/>
  <c r="Q73" i="1"/>
  <c r="Q72" i="1"/>
  <c r="Q69" i="1"/>
  <c r="Q68" i="1"/>
  <c r="Q65" i="1"/>
  <c r="Q64" i="1"/>
  <c r="Q63" i="1"/>
  <c r="Q61" i="1"/>
  <c r="Q55" i="1"/>
  <c r="Q51" i="1"/>
  <c r="Q34" i="1"/>
  <c r="O105" i="1"/>
  <c r="O104" i="1"/>
  <c r="O103" i="1"/>
  <c r="O102" i="1"/>
  <c r="O101" i="1"/>
  <c r="O99" i="1"/>
  <c r="O98" i="1"/>
  <c r="O73" i="1"/>
  <c r="O72" i="1"/>
  <c r="O69" i="1"/>
  <c r="O68" i="1"/>
  <c r="O65" i="1"/>
  <c r="O64" i="1"/>
  <c r="O63" i="1"/>
  <c r="O61" i="1"/>
  <c r="O55" i="1"/>
  <c r="O53" i="1" s="1"/>
  <c r="O52" i="1" s="1"/>
  <c r="O51" i="1"/>
  <c r="O34" i="1"/>
  <c r="M105" i="1"/>
  <c r="M104" i="1"/>
  <c r="M103" i="1"/>
  <c r="M102" i="1"/>
  <c r="M101" i="1"/>
  <c r="M99" i="1"/>
  <c r="M98" i="1"/>
  <c r="M97" i="1" s="1"/>
  <c r="M73" i="1"/>
  <c r="M72" i="1"/>
  <c r="M69" i="1"/>
  <c r="M68" i="1"/>
  <c r="M65" i="1"/>
  <c r="M64" i="1"/>
  <c r="M63" i="1"/>
  <c r="M61" i="1"/>
  <c r="M55" i="1"/>
  <c r="M53" i="1" s="1"/>
  <c r="M52" i="1" s="1"/>
  <c r="M51" i="1"/>
  <c r="M34" i="1"/>
  <c r="Q97" i="1"/>
  <c r="Q53" i="1"/>
  <c r="Q52" i="1" s="1"/>
  <c r="Q36" i="1"/>
  <c r="Q21" i="1"/>
  <c r="Q20" i="1" s="1"/>
  <c r="O97" i="1"/>
  <c r="O36" i="1"/>
  <c r="O21" i="1"/>
  <c r="M121" i="1"/>
  <c r="M36" i="1"/>
  <c r="M21" i="1"/>
  <c r="K121" i="1"/>
  <c r="K105" i="1"/>
  <c r="K104" i="1"/>
  <c r="K103" i="1"/>
  <c r="K102" i="1"/>
  <c r="K101" i="1"/>
  <c r="K99" i="1"/>
  <c r="K98" i="1"/>
  <c r="K97" i="1" s="1"/>
  <c r="K73" i="1"/>
  <c r="K72" i="1"/>
  <c r="K69" i="1"/>
  <c r="K68" i="1"/>
  <c r="K66" i="1"/>
  <c r="K65" i="1"/>
  <c r="K64" i="1"/>
  <c r="K63" i="1"/>
  <c r="K61" i="1"/>
  <c r="K55" i="1"/>
  <c r="K53" i="1" s="1"/>
  <c r="K52" i="1" s="1"/>
  <c r="K51" i="1"/>
  <c r="K36" i="1"/>
  <c r="K34" i="1"/>
  <c r="K29" i="1"/>
  <c r="K21" i="1"/>
  <c r="O94" i="1" l="1"/>
  <c r="O93" i="1" s="1"/>
  <c r="M67" i="1"/>
  <c r="K269" i="1"/>
  <c r="M269" i="1" s="1"/>
  <c r="O269" i="1" s="1"/>
  <c r="Q269" i="1" s="1"/>
  <c r="K302" i="1"/>
  <c r="K310" i="1" s="1"/>
  <c r="M20" i="1"/>
  <c r="Q94" i="1"/>
  <c r="M59" i="1"/>
  <c r="M94" i="1"/>
  <c r="Q59" i="1"/>
  <c r="K20" i="1"/>
  <c r="Q67" i="1"/>
  <c r="K67" i="1"/>
  <c r="K94" i="1"/>
  <c r="K100" i="1"/>
  <c r="M70" i="1"/>
  <c r="O67" i="1"/>
  <c r="Q70" i="1"/>
  <c r="Q100" i="1"/>
  <c r="Q93" i="1" s="1"/>
  <c r="M100" i="1"/>
  <c r="O59" i="1"/>
  <c r="O70" i="1"/>
  <c r="O100" i="1"/>
  <c r="K70" i="1"/>
  <c r="K59" i="1"/>
  <c r="O20" i="1"/>
  <c r="O50" i="1"/>
  <c r="M50" i="1"/>
  <c r="M35" i="1" s="1"/>
  <c r="M78" i="1" s="1"/>
  <c r="M106" i="1" s="1"/>
  <c r="M136" i="1" s="1"/>
  <c r="Q50" i="1"/>
  <c r="K50" i="1"/>
  <c r="M93" i="1"/>
  <c r="M152" i="1" l="1"/>
  <c r="K93" i="1"/>
  <c r="K35" i="1"/>
  <c r="K78" i="1" s="1"/>
  <c r="K106" i="1" s="1"/>
  <c r="M87" i="1"/>
  <c r="M92" i="1" s="1"/>
  <c r="M145" i="1" s="1"/>
  <c r="M385" i="1" l="1"/>
  <c r="M423" i="1" s="1"/>
  <c r="M372" i="1"/>
  <c r="K87" i="1"/>
  <c r="K92" i="1" s="1"/>
  <c r="M150" i="1"/>
  <c r="M120" i="1"/>
  <c r="M115" i="1" s="1"/>
  <c r="M157" i="1"/>
  <c r="K157" i="1"/>
  <c r="K136" i="1"/>
  <c r="K145" i="1" s="1"/>
  <c r="K150" i="1"/>
  <c r="K120" i="1"/>
  <c r="K115" i="1" s="1"/>
  <c r="Q351" i="1" l="1"/>
  <c r="O351" i="1"/>
  <c r="M351" i="1"/>
  <c r="M371" i="1"/>
  <c r="M370" i="1" s="1"/>
  <c r="M369" i="1" s="1"/>
  <c r="K372" i="1"/>
  <c r="K371" i="1" s="1"/>
  <c r="K370" i="1" s="1"/>
  <c r="J372" i="1"/>
  <c r="J371" i="1" s="1"/>
  <c r="J370" i="1" s="1"/>
  <c r="I372" i="1"/>
  <c r="I371" i="1" s="1"/>
  <c r="I370" i="1" s="1"/>
  <c r="I369" i="1" s="1"/>
  <c r="M364" i="1"/>
  <c r="O364" i="1" s="1"/>
  <c r="Q364" i="1" s="1"/>
  <c r="O349" i="1"/>
  <c r="Q349" i="1" s="1"/>
  <c r="S294" i="1"/>
  <c r="S295" i="1"/>
  <c r="S293" i="1"/>
  <c r="S286" i="1"/>
  <c r="S287" i="1"/>
  <c r="S269" i="1"/>
  <c r="S299" i="1"/>
  <c r="S298" i="1"/>
  <c r="S291" i="1"/>
  <c r="S290" i="1"/>
  <c r="S285" i="1"/>
  <c r="S284" i="1"/>
  <c r="S283" i="1"/>
  <c r="S280" i="1"/>
  <c r="S279" i="1"/>
  <c r="S278" i="1"/>
  <c r="R310" i="1"/>
  <c r="S232" i="1"/>
  <c r="J103" i="1"/>
  <c r="I103" i="1"/>
  <c r="I105" i="1" s="1"/>
  <c r="I100" i="1" s="1"/>
  <c r="J97" i="1"/>
  <c r="J99" i="1" s="1"/>
  <c r="J94" i="1" s="1"/>
  <c r="I97" i="1"/>
  <c r="I99" i="1" s="1"/>
  <c r="S57" i="1"/>
  <c r="S72" i="1"/>
  <c r="J70" i="1"/>
  <c r="I67" i="1"/>
  <c r="I66" i="1"/>
  <c r="J66" i="1"/>
  <c r="J65" i="1"/>
  <c r="I65" i="1"/>
  <c r="S63" i="1"/>
  <c r="I59" i="1"/>
  <c r="J59" i="1"/>
  <c r="J53" i="1"/>
  <c r="J52" i="1" s="1"/>
  <c r="J50" i="1" s="1"/>
  <c r="I70" i="1"/>
  <c r="S67" i="1"/>
  <c r="J67" i="1"/>
  <c r="I53" i="1"/>
  <c r="I52" i="1" s="1"/>
  <c r="I50" i="1" s="1"/>
  <c r="J36" i="1"/>
  <c r="I36" i="1"/>
  <c r="J21" i="1"/>
  <c r="J20" i="1" s="1"/>
  <c r="I21" i="1"/>
  <c r="I20" i="1" s="1"/>
  <c r="S246" i="1"/>
  <c r="S244" i="1"/>
  <c r="S242" i="1"/>
  <c r="S238" i="1"/>
  <c r="S237" i="1"/>
  <c r="S236" i="1"/>
  <c r="S235" i="1"/>
  <c r="S234" i="1"/>
  <c r="S233" i="1"/>
  <c r="S231" i="1"/>
  <c r="S230" i="1"/>
  <c r="S229" i="1"/>
  <c r="S228" i="1"/>
  <c r="S227" i="1"/>
  <c r="S226" i="1"/>
  <c r="S225" i="1"/>
  <c r="S224" i="1"/>
  <c r="S223" i="1"/>
  <c r="S222" i="1"/>
  <c r="S220" i="1"/>
  <c r="S218" i="1"/>
  <c r="S217" i="1"/>
  <c r="S216" i="1"/>
  <c r="S215" i="1"/>
  <c r="S214" i="1"/>
  <c r="S213" i="1"/>
  <c r="S212" i="1"/>
  <c r="S211" i="1"/>
  <c r="S206" i="1"/>
  <c r="S205" i="1"/>
  <c r="S204" i="1"/>
  <c r="S203" i="1"/>
  <c r="S202" i="1"/>
  <c r="S201" i="1"/>
  <c r="S199" i="1"/>
  <c r="S197" i="1"/>
  <c r="S196" i="1"/>
  <c r="S193" i="1"/>
  <c r="S192" i="1"/>
  <c r="S191" i="1"/>
  <c r="S190" i="1"/>
  <c r="S188" i="1"/>
  <c r="S187" i="1"/>
  <c r="S186" i="1"/>
  <c r="S183" i="1"/>
  <c r="S180" i="1"/>
  <c r="S179" i="1"/>
  <c r="S178" i="1"/>
  <c r="S177" i="1"/>
  <c r="S176" i="1"/>
  <c r="S175" i="1"/>
  <c r="S174" i="1"/>
  <c r="S172" i="1"/>
  <c r="S171" i="1"/>
  <c r="S170" i="1"/>
  <c r="S169" i="1"/>
  <c r="S168" i="1"/>
  <c r="S167" i="1"/>
  <c r="S166" i="1"/>
  <c r="S165" i="1"/>
  <c r="S161" i="1"/>
  <c r="S160" i="1"/>
  <c r="S159" i="1"/>
  <c r="S158" i="1"/>
  <c r="S156" i="1"/>
  <c r="S155" i="1"/>
  <c r="S154" i="1"/>
  <c r="S153" i="1"/>
  <c r="S151" i="1"/>
  <c r="S149" i="1"/>
  <c r="S148" i="1"/>
  <c r="S147" i="1"/>
  <c r="S146" i="1"/>
  <c r="S144" i="1"/>
  <c r="S143" i="1"/>
  <c r="S142" i="1"/>
  <c r="S141" i="1"/>
  <c r="S140" i="1"/>
  <c r="S139" i="1"/>
  <c r="S138" i="1"/>
  <c r="S137" i="1"/>
  <c r="S135" i="1"/>
  <c r="S134" i="1"/>
  <c r="S133" i="1"/>
  <c r="S132" i="1"/>
  <c r="S131" i="1"/>
  <c r="S129" i="1"/>
  <c r="S128" i="1"/>
  <c r="S127" i="1"/>
  <c r="S126" i="1"/>
  <c r="S125" i="1"/>
  <c r="S124" i="1"/>
  <c r="S123" i="1"/>
  <c r="S122" i="1"/>
  <c r="S119" i="1"/>
  <c r="S118" i="1"/>
  <c r="S117" i="1"/>
  <c r="S116" i="1"/>
  <c r="S114" i="1"/>
  <c r="S113" i="1"/>
  <c r="S112" i="1"/>
  <c r="S111" i="1"/>
  <c r="S110" i="1"/>
  <c r="S109" i="1"/>
  <c r="S108" i="1"/>
  <c r="S107" i="1"/>
  <c r="S104" i="1"/>
  <c r="S103" i="1"/>
  <c r="S102" i="1"/>
  <c r="S101" i="1"/>
  <c r="S98" i="1"/>
  <c r="S96" i="1"/>
  <c r="S95" i="1"/>
  <c r="S91" i="1"/>
  <c r="S90" i="1"/>
  <c r="S89" i="1"/>
  <c r="S88" i="1"/>
  <c r="S86" i="1"/>
  <c r="S85" i="1"/>
  <c r="S84" i="1"/>
  <c r="S83" i="1"/>
  <c r="S82" i="1"/>
  <c r="S81" i="1"/>
  <c r="S80" i="1"/>
  <c r="S79" i="1"/>
  <c r="S77" i="1"/>
  <c r="S76" i="1"/>
  <c r="S75" i="1"/>
  <c r="S74" i="1"/>
  <c r="S73" i="1"/>
  <c r="S71" i="1"/>
  <c r="S69" i="1"/>
  <c r="S68" i="1"/>
  <c r="S65" i="1"/>
  <c r="S64" i="1"/>
  <c r="S62" i="1"/>
  <c r="S60" i="1"/>
  <c r="S58" i="1"/>
  <c r="S56" i="1"/>
  <c r="S55" i="1"/>
  <c r="S54" i="1"/>
  <c r="S51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3" i="1"/>
  <c r="S32" i="1"/>
  <c r="S31" i="1"/>
  <c r="S30" i="1"/>
  <c r="S28" i="1"/>
  <c r="S27" i="1"/>
  <c r="S26" i="1"/>
  <c r="S25" i="1"/>
  <c r="S24" i="1"/>
  <c r="S23" i="1"/>
  <c r="S22" i="1"/>
  <c r="S59" i="1"/>
  <c r="S61" i="1"/>
  <c r="S34" i="1"/>
  <c r="J121" i="1"/>
  <c r="S162" i="1"/>
  <c r="M173" i="1" l="1"/>
  <c r="K248" i="1"/>
  <c r="K249" i="1" s="1"/>
  <c r="M248" i="1" s="1"/>
  <c r="S195" i="1"/>
  <c r="S189" i="1"/>
  <c r="S209" i="1"/>
  <c r="J35" i="1"/>
  <c r="J78" i="1" s="1"/>
  <c r="S181" i="1"/>
  <c r="S349" i="1"/>
  <c r="S53" i="1"/>
  <c r="S198" i="1"/>
  <c r="S351" i="1"/>
  <c r="S70" i="1"/>
  <c r="S36" i="1"/>
  <c r="S97" i="1"/>
  <c r="S105" i="1"/>
  <c r="S200" i="1"/>
  <c r="S219" i="1"/>
  <c r="S221" i="1"/>
  <c r="S21" i="1"/>
  <c r="S99" i="1"/>
  <c r="S251" i="1"/>
  <c r="S268" i="1"/>
  <c r="S29" i="1"/>
  <c r="I35" i="1"/>
  <c r="I78" i="1" s="1"/>
  <c r="I94" i="1"/>
  <c r="I93" i="1" s="1"/>
  <c r="J105" i="1"/>
  <c r="J100" i="1" s="1"/>
  <c r="J93" i="1" s="1"/>
  <c r="M208" i="1" l="1"/>
  <c r="M302" i="1"/>
  <c r="M310" i="1" s="1"/>
  <c r="M164" i="1"/>
  <c r="M239" i="1" s="1"/>
  <c r="S20" i="1"/>
  <c r="S185" i="1"/>
  <c r="S50" i="1"/>
  <c r="S93" i="1"/>
  <c r="S94" i="1"/>
  <c r="I87" i="1"/>
  <c r="I92" i="1" s="1"/>
  <c r="I106" i="1"/>
  <c r="S52" i="1"/>
  <c r="S245" i="1"/>
  <c r="S243" i="1"/>
  <c r="S100" i="1"/>
  <c r="J106" i="1"/>
  <c r="J87" i="1"/>
  <c r="J92" i="1" s="1"/>
  <c r="M207" i="1" l="1"/>
  <c r="I150" i="1"/>
  <c r="I120" i="1"/>
  <c r="J150" i="1"/>
  <c r="J120" i="1"/>
  <c r="J115" i="1" s="1"/>
  <c r="S184" i="1"/>
  <c r="S292" i="1"/>
  <c r="I157" i="1"/>
  <c r="I162" i="1" s="1"/>
  <c r="I115" i="1"/>
  <c r="J157" i="1"/>
  <c r="J162" i="1" s="1"/>
  <c r="J136" i="1"/>
  <c r="J145" i="1" s="1"/>
  <c r="M240" i="1" l="1"/>
  <c r="S301" i="1"/>
  <c r="S300" i="1"/>
  <c r="I130" i="1"/>
  <c r="I121" i="1" s="1"/>
  <c r="I136" i="1" s="1"/>
  <c r="I145" i="1" s="1"/>
  <c r="S182" i="1"/>
  <c r="M241" i="1" l="1"/>
  <c r="M247" i="1"/>
  <c r="M249" i="1" s="1"/>
  <c r="O248" i="1" s="1"/>
  <c r="S194" i="1"/>
  <c r="Q66" i="1" l="1"/>
  <c r="O66" i="1"/>
  <c r="O404" i="1" l="1"/>
  <c r="O35" i="1"/>
  <c r="S66" i="1"/>
  <c r="Q404" i="1"/>
  <c r="Q35" i="1"/>
  <c r="Q78" i="1" s="1"/>
  <c r="Q395" i="1" l="1"/>
  <c r="Q396" i="1"/>
  <c r="O78" i="1"/>
  <c r="S35" i="1"/>
  <c r="Q106" i="1"/>
  <c r="Q87" i="1"/>
  <c r="Q92" i="1" s="1"/>
  <c r="O396" i="1"/>
  <c r="S396" i="1" s="1"/>
  <c r="O395" i="1"/>
  <c r="S395" i="1" s="1"/>
  <c r="S404" i="1"/>
  <c r="Q150" i="1" l="1"/>
  <c r="Q120" i="1"/>
  <c r="Q157" i="1"/>
  <c r="Q115" i="1"/>
  <c r="O87" i="1"/>
  <c r="O106" i="1"/>
  <c r="S78" i="1"/>
  <c r="O92" i="1" l="1"/>
  <c r="S87" i="1"/>
  <c r="O157" i="1"/>
  <c r="S157" i="1" s="1"/>
  <c r="S106" i="1"/>
  <c r="O120" i="1" l="1"/>
  <c r="O150" i="1"/>
  <c r="S150" i="1" s="1"/>
  <c r="S92" i="1"/>
  <c r="S120" i="1" l="1"/>
  <c r="O115" i="1"/>
  <c r="S115" i="1" s="1"/>
  <c r="Q130" i="1" l="1"/>
  <c r="Q121" i="1" s="1"/>
  <c r="Q136" i="1" s="1"/>
  <c r="O130" i="1"/>
  <c r="O121" i="1" l="1"/>
  <c r="S130" i="1"/>
  <c r="Q152" i="1"/>
  <c r="Q145" i="1"/>
  <c r="Q385" i="1" l="1"/>
  <c r="Q423" i="1" s="1"/>
  <c r="Q372" i="1"/>
  <c r="Q371" i="1" s="1"/>
  <c r="Q370" i="1" s="1"/>
  <c r="Q369" i="1" s="1"/>
  <c r="S121" i="1"/>
  <c r="O136" i="1"/>
  <c r="O145" i="1" l="1"/>
  <c r="S145" i="1" s="1"/>
  <c r="O152" i="1"/>
  <c r="S136" i="1"/>
  <c r="Q208" i="1"/>
  <c r="Q207" i="1" s="1"/>
  <c r="Q240" i="1" s="1"/>
  <c r="Q241" i="1" s="1"/>
  <c r="Q173" i="1"/>
  <c r="S152" i="1" l="1"/>
  <c r="O385" i="1"/>
  <c r="O372" i="1"/>
  <c r="Q164" i="1"/>
  <c r="Q239" i="1" s="1"/>
  <c r="Q247" i="1" s="1"/>
  <c r="Q302" i="1"/>
  <c r="Q310" i="1" s="1"/>
  <c r="O423" i="1" l="1"/>
  <c r="S423" i="1" s="1"/>
  <c r="S385" i="1"/>
  <c r="S372" i="1"/>
  <c r="O371" i="1"/>
  <c r="O370" i="1" l="1"/>
  <c r="S371" i="1"/>
  <c r="O369" i="1" l="1"/>
  <c r="S370" i="1"/>
  <c r="O173" i="1" l="1"/>
  <c r="S369" i="1"/>
  <c r="O208" i="1" l="1"/>
  <c r="S210" i="1"/>
  <c r="O164" i="1"/>
  <c r="O302" i="1"/>
  <c r="O310" i="1" s="1"/>
  <c r="S173" i="1"/>
  <c r="S302" i="1" s="1"/>
  <c r="S310" i="1" s="1"/>
  <c r="O239" i="1" l="1"/>
  <c r="S164" i="1"/>
  <c r="O207" i="1"/>
  <c r="S208" i="1"/>
  <c r="S207" i="1" l="1"/>
  <c r="O240" i="1"/>
  <c r="S239" i="1"/>
  <c r="O247" i="1"/>
  <c r="S247" i="1" l="1"/>
  <c r="O249" i="1"/>
  <c r="Q248" i="1" s="1"/>
  <c r="O241" i="1"/>
  <c r="S241" i="1" s="1"/>
  <c r="S240" i="1"/>
  <c r="Q249" i="1" l="1"/>
  <c r="S249" i="1" s="1"/>
  <c r="S248" i="1"/>
</calcChain>
</file>

<file path=xl/sharedStrings.xml><?xml version="1.0" encoding="utf-8"?>
<sst xmlns="http://schemas.openxmlformats.org/spreadsheetml/2006/main" count="4125" uniqueCount="706">
  <si>
    <t>Приложение № 1</t>
  </si>
  <si>
    <t>Ед. изм.</t>
  </si>
  <si>
    <t>Факт</t>
  </si>
  <si>
    <t>млн рублей</t>
  </si>
  <si>
    <t>№ п/п</t>
  </si>
  <si>
    <t>Показатель</t>
  </si>
  <si>
    <t>Итого за период реализации инвестиционной программы</t>
  </si>
  <si>
    <t>Предложение по корректировке утвержденного плана</t>
  </si>
  <si>
    <t>1.1</t>
  </si>
  <si>
    <t>1.1.1</t>
  </si>
  <si>
    <t>1.1.2</t>
  </si>
  <si>
    <t>1.1.3</t>
  </si>
  <si>
    <t>1.2</t>
  </si>
  <si>
    <t>1.3</t>
  </si>
  <si>
    <t>1.4</t>
  </si>
  <si>
    <t>1.5</t>
  </si>
  <si>
    <t>1.6</t>
  </si>
  <si>
    <t>1.7</t>
  </si>
  <si>
    <t>1.8</t>
  </si>
  <si>
    <t>1.8.1</t>
  </si>
  <si>
    <t>1.8.2</t>
  </si>
  <si>
    <t>1.9</t>
  </si>
  <si>
    <t>I</t>
  </si>
  <si>
    <t>II</t>
  </si>
  <si>
    <t>2.1.1</t>
  </si>
  <si>
    <t>2.1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</si>
  <si>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</si>
  <si>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</si>
  <si>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</si>
  <si>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</si>
  <si>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</si>
  <si>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</si>
  <si>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</si>
  <si>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</si>
  <si>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</si>
  <si>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</si>
  <si>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</si>
  <si>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</si>
  <si>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</si>
  <si>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2.1.2.1</t>
  </si>
  <si>
    <t>2.1.2.2</t>
  </si>
  <si>
    <t>2.1.2.1.1</t>
  </si>
  <si>
    <t>Выручка от реализации товаров (работ, услуг) всего, в том числе *: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</si>
  <si>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</si>
  <si>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</si>
  <si>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БЮДЖЕТ ДОХОДОВ И РАСХОДОВ</t>
  </si>
  <si>
    <t>к приказу Минэнерго России</t>
  </si>
  <si>
    <t>от 13.04.2017 № 310</t>
  </si>
  <si>
    <t xml:space="preserve">Форма № </t>
  </si>
  <si>
    <t xml:space="preserve"> Финансовый план субъекта электроэнергетики</t>
  </si>
  <si>
    <t>Инвестиционная программа</t>
  </si>
  <si>
    <t>Утвержденные плановые значения показателей приведены в соответствии</t>
  </si>
  <si>
    <t>реквизиты решения органа исполнительной власти, утвердившего инвестиционную программу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</si>
  <si>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</si>
  <si>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</si>
  <si>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</si>
  <si>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2.1.2.1.2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</si>
  <si>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</si>
  <si>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</si>
  <si>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</si>
  <si>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</si>
  <si>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</si>
  <si>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</si>
  <si>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</si>
  <si>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</si>
  <si>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</si>
  <si>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</si>
  <si>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2.5.1</t>
  </si>
  <si>
    <t>2.5.2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</si>
  <si>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</si>
  <si>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</si>
  <si>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</si>
  <si>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</si>
  <si>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</si>
  <si>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</si>
  <si>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</si>
  <si>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</si>
  <si>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</si>
  <si>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</si>
  <si>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</si>
  <si>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</si>
  <si>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</si>
  <si>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</si>
  <si>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</si>
  <si>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</si>
  <si>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</si>
  <si>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</si>
  <si>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</si>
  <si>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</si>
  <si>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</si>
  <si>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покупная электрическая энергия (мощность) всего, в том числе:</t>
  </si>
  <si>
    <t>на технологические цели, включая энергию на компенсацию потерь при ее передаче</t>
  </si>
  <si>
    <t>для последующей перепродажи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</si>
  <si>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</si>
  <si>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</si>
  <si>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</si>
  <si>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</si>
  <si>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</si>
  <si>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</si>
  <si>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</si>
  <si>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*****</t>
  </si>
  <si>
    <t>прочие услуги производственного характера</t>
  </si>
  <si>
    <t>Расходы на оплату труда с учетом страховых взносов</t>
  </si>
  <si>
    <t>Амортизация основных средств и нематериальных активов</t>
  </si>
  <si>
    <t>Налоги и сборы всего, в том числе:</t>
  </si>
  <si>
    <t>налог на имущество организации</t>
  </si>
  <si>
    <t>прочие налоги и сборы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</si>
  <si>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</si>
  <si>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</si>
  <si>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</si>
  <si>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</si>
  <si>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</si>
  <si>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</si>
  <si>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</si>
  <si>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</si>
  <si>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</si>
  <si>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</si>
  <si>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</si>
  <si>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</si>
  <si>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</si>
  <si>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</si>
  <si>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</si>
  <si>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</si>
  <si>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</si>
  <si>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</si>
  <si>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</si>
  <si>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</si>
  <si>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</si>
  <si>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</si>
  <si>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</si>
  <si>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</si>
  <si>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</si>
  <si>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</si>
  <si>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4.1.1</t>
  </si>
  <si>
    <t>4.1.2</t>
  </si>
  <si>
    <t>4.1.3</t>
  </si>
  <si>
    <t>4.1.3.1</t>
  </si>
  <si>
    <t>4.1.4</t>
  </si>
  <si>
    <t>4.2</t>
  </si>
  <si>
    <t>4.2.1</t>
  </si>
  <si>
    <t>4.2.2</t>
  </si>
  <si>
    <t>4.2.3</t>
  </si>
  <si>
    <t>4.2.3.1</t>
  </si>
  <si>
    <t>4.2.4</t>
  </si>
  <si>
    <t>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</si>
  <si>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</si>
  <si>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</si>
  <si>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</si>
  <si>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</si>
  <si>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</si>
  <si>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</si>
  <si>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</si>
  <si>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</si>
  <si>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</si>
  <si>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</si>
  <si>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прочие внереализационные расходы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</si>
  <si>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</si>
  <si>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</si>
  <si>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</si>
  <si>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</si>
  <si>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</si>
  <si>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</si>
  <si>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</si>
  <si>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</si>
  <si>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</si>
  <si>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</si>
  <si>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</si>
  <si>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</si>
  <si>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</si>
  <si>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</si>
  <si>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</si>
  <si>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</si>
  <si>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</si>
  <si>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</si>
  <si>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</si>
  <si>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</si>
  <si>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</si>
  <si>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</si>
  <si>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</si>
  <si>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6.3</t>
  </si>
  <si>
    <t>6.4</t>
  </si>
  <si>
    <t>6.5</t>
  </si>
  <si>
    <t>6.6</t>
  </si>
  <si>
    <t>6.7</t>
  </si>
  <si>
    <t>6.8</t>
  </si>
  <si>
    <t>6.8.1</t>
  </si>
  <si>
    <t>6.8.2</t>
  </si>
  <si>
    <t>6.9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</si>
  <si>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</si>
  <si>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</si>
  <si>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</si>
  <si>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</si>
  <si>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</si>
  <si>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</si>
  <si>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</si>
  <si>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</si>
  <si>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</si>
  <si>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</si>
  <si>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</si>
  <si>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</si>
  <si>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</si>
  <si>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</si>
  <si>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</si>
  <si>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</si>
  <si>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</si>
  <si>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</si>
  <si>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</si>
  <si>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8.2</t>
  </si>
  <si>
    <t>8.3</t>
  </si>
  <si>
    <t>8.4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</si>
  <si>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</si>
  <si>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</si>
  <si>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</si>
  <si>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</si>
  <si>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</si>
  <si>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9.1</t>
  </si>
  <si>
    <t>9.2</t>
  </si>
  <si>
    <t>9.2.1</t>
  </si>
  <si>
    <t>9.3</t>
  </si>
  <si>
    <t>9.3.1</t>
  </si>
  <si>
    <t>9.4</t>
  </si>
  <si>
    <t>Прибыль до налогообложения без учета процентов к уплате и амортизации (строка V + строка 4.2.2 + строка II.IV)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</si>
  <si>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</si>
  <si>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</si>
  <si>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</si>
  <si>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</si>
  <si>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</si>
  <si>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</si>
  <si>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</si>
  <si>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</si>
  <si>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</si>
  <si>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</si>
  <si>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</si>
  <si>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</si>
  <si>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</si>
  <si>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</si>
  <si>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</si>
  <si>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</si>
  <si>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</si>
  <si>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</si>
  <si>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</si>
  <si>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</si>
  <si>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</si>
  <si>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</si>
  <si>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10.9.1</t>
  </si>
  <si>
    <t>10.9.2</t>
  </si>
  <si>
    <t>10.10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</si>
  <si>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</si>
  <si>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</si>
  <si>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</si>
  <si>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XI</t>
  </si>
  <si>
    <t>Платежи по текущим операциям всего, в том числе:</t>
  </si>
  <si>
    <t>11.1</t>
  </si>
  <si>
    <t>11.2</t>
  </si>
  <si>
    <t>11.2.1</t>
  </si>
  <si>
    <t>11.2.2</t>
  </si>
  <si>
    <t>11.2.3</t>
  </si>
  <si>
    <t>11.3</t>
  </si>
  <si>
    <t>11.4</t>
  </si>
  <si>
    <t>11.5</t>
  </si>
  <si>
    <t>11.6</t>
  </si>
  <si>
    <t>11.7</t>
  </si>
  <si>
    <t>11.8</t>
  </si>
  <si>
    <t>11.8.1</t>
  </si>
  <si>
    <t>11.9</t>
  </si>
  <si>
    <t>11.10</t>
  </si>
  <si>
    <t>11.11</t>
  </si>
  <si>
    <t>11.12</t>
  </si>
  <si>
    <t>11.13</t>
  </si>
  <si>
    <t>XII</t>
  </si>
  <si>
    <t>Оплата поставщикам топлива</t>
  </si>
  <si>
    <t>Оплата покупной энергии всего, в том числе:</t>
  </si>
  <si>
    <t>на оптовом рынке электрической энергии и мощности</t>
  </si>
  <si>
    <t>на розничных рынках электрической энергии</t>
  </si>
  <si>
    <t>на компенсацию потерь</t>
  </si>
  <si>
    <t>Оплата услуг по передаче электрической энергии по единой (национальной) общероссийской электрической сети</t>
  </si>
  <si>
    <t>Оплата услуг по передаче электрической энергии по сетям территориальных сетевых организаций</t>
  </si>
  <si>
    <t>Оплата услуг по передаче тепловой энергии, теплоносителя</t>
  </si>
  <si>
    <t>Оплата труда</t>
  </si>
  <si>
    <t>Страховые взносы</t>
  </si>
  <si>
    <t>Оплата налогов и сборов всего, в том числе:</t>
  </si>
  <si>
    <t>налог на прибыль</t>
  </si>
  <si>
    <t>Оплата сырья, материалов, запасных частей, инструментов</t>
  </si>
  <si>
    <t>Оплата прочих услуг производственного характера</t>
  </si>
  <si>
    <t>Арендная плата и лизинговые платежи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</si>
  <si>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</si>
  <si>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Прочие платежи по текущей деятельности</t>
  </si>
  <si>
    <t>Поступления от инвестиционных операций всего, в том числе:</t>
  </si>
  <si>
    <t>12.1</t>
  </si>
  <si>
    <t>12.2</t>
  </si>
  <si>
    <t>12.2.1</t>
  </si>
  <si>
    <t>12.2.1.1</t>
  </si>
  <si>
    <t>12.2.1.2</t>
  </si>
  <si>
    <t>12.3</t>
  </si>
  <si>
    <t>XIII</t>
  </si>
  <si>
    <t>Поступления от реализации имущества и имущественных прав</t>
  </si>
  <si>
    <t>Поступления по заключенным инвестиционным соглашениям, в том числе</t>
  </si>
  <si>
    <t>по использованию средств бюджетов бюджетной системы Российской Федерации всего, в том числе:</t>
  </si>
  <si>
    <t>средства федерального бюджета</t>
  </si>
  <si>
    <t>средства консолидированного бюджета субъекта Российской Федерации</t>
  </si>
  <si>
    <t>Прочие поступления по инвестиционным операциям</t>
  </si>
  <si>
    <t>Платежи по инвестиционным операциям всего, в том числе:</t>
  </si>
  <si>
    <t>13.1</t>
  </si>
  <si>
    <t>13.1.1</t>
  </si>
  <si>
    <t>13.1.2</t>
  </si>
  <si>
    <t>13.1.3</t>
  </si>
  <si>
    <t>13.1.4</t>
  </si>
  <si>
    <t>13.1.5</t>
  </si>
  <si>
    <t>13.1.6</t>
  </si>
  <si>
    <t>13.2</t>
  </si>
  <si>
    <t>13.3</t>
  </si>
  <si>
    <t>13.4</t>
  </si>
  <si>
    <t>13.4.1</t>
  </si>
  <si>
    <t>XIV</t>
  </si>
  <si>
    <t>Инвестиции в основной капитал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</si>
  <si>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</si>
  <si>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</si>
  <si>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</si>
  <si>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</si>
  <si>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</si>
  <si>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прочие выплаты, связанные с инвестициями в основной капитал</t>
  </si>
  <si>
    <t>Приобретение нематериальных активов</t>
  </si>
  <si>
    <t>Прочие платежи по инвестиционным операциям всего, в том числе: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</si>
  <si>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</si>
  <si>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</si>
  <si>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14.1</t>
  </si>
  <si>
    <t>14.2</t>
  </si>
  <si>
    <t>14.2.1</t>
  </si>
  <si>
    <t>14.2.2</t>
  </si>
  <si>
    <t>14.2.3</t>
  </si>
  <si>
    <t>14.3</t>
  </si>
  <si>
    <t>14.4</t>
  </si>
  <si>
    <t>14.4.1</t>
  </si>
  <si>
    <t>14.4.2</t>
  </si>
  <si>
    <t>14.5</t>
  </si>
  <si>
    <t>14.6</t>
  </si>
  <si>
    <t>14.7</t>
  </si>
  <si>
    <t>XV</t>
  </si>
  <si>
    <t>Процентные поступления</t>
  </si>
  <si>
    <t>Поступления по полученным кредитам всего, в том числе:</t>
  </si>
  <si>
    <t>на текущую деятельность</t>
  </si>
  <si>
    <t>на инвестиционные операции</t>
  </si>
  <si>
    <t>на рефинансирование кредитов и займов</t>
  </si>
  <si>
    <t>Поступления от эмиссии акций **</t>
  </si>
  <si>
    <t>Поступления от реализации финансовых инструментов всего, в том числе:</t>
  </si>
  <si>
    <t>облигационные займы</t>
  </si>
  <si>
    <t>Поступления от займов организаций</t>
  </si>
  <si>
    <t>Поступления за счет средств инвесторов</t>
  </si>
  <si>
    <t>Прочие поступления по финансовым операциям</t>
  </si>
  <si>
    <t>Платежи по финансовым операциям всего, в том числе:</t>
  </si>
  <si>
    <t>1. Финансово-экономическая модель деятельности субъекта электроэнергетики</t>
  </si>
  <si>
    <t xml:space="preserve">Год раскрытия (предоставления) информации: </t>
  </si>
  <si>
    <t xml:space="preserve"> год</t>
  </si>
  <si>
    <t>с</t>
  </si>
  <si>
    <t>15.1</t>
  </si>
  <si>
    <t>15.1.1</t>
  </si>
  <si>
    <t>15.1.2</t>
  </si>
  <si>
    <t>15.1.3</t>
  </si>
  <si>
    <t>15.2</t>
  </si>
  <si>
    <t>15.3</t>
  </si>
  <si>
    <t>XVI</t>
  </si>
  <si>
    <t>Прочие выплаты по финансовым операциям</t>
  </si>
  <si>
    <t>Сальдо денежных средств по операционной деятельности (строка X - строка XI) всего, в том числе:</t>
  </si>
  <si>
    <t>XVII</t>
  </si>
  <si>
    <t>17.1</t>
  </si>
  <si>
    <t>17.2</t>
  </si>
  <si>
    <t>XVIII</t>
  </si>
  <si>
    <t>18.1</t>
  </si>
  <si>
    <t>18.2</t>
  </si>
  <si>
    <t>XIX</t>
  </si>
  <si>
    <t>XX</t>
  </si>
  <si>
    <t>XXI</t>
  </si>
  <si>
    <t>XXII</t>
  </si>
  <si>
    <t>XXIII</t>
  </si>
  <si>
    <t>23.1</t>
  </si>
  <si>
    <t>23.1.1</t>
  </si>
  <si>
    <t>23.1.1.а</t>
  </si>
  <si>
    <t>23.1.1.1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</si>
  <si>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</si>
  <si>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</si>
  <si>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</si>
  <si>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</si>
  <si>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</si>
  <si>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</si>
  <si>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</si>
  <si>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</si>
  <si>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</si>
  <si>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</si>
  <si>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</si>
  <si>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</si>
  <si>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</si>
  <si>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</si>
  <si>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</si>
  <si>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</si>
  <si>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</si>
  <si>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</si>
  <si>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</si>
  <si>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</si>
  <si>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</si>
  <si>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</si>
  <si>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</si>
  <si>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23.1.9.а</t>
  </si>
  <si>
    <t>23.2</t>
  </si>
  <si>
    <t>23.2.1</t>
  </si>
  <si>
    <t>23.2.1.а</t>
  </si>
  <si>
    <t>23.2.2</t>
  </si>
  <si>
    <t>23.2.2.1</t>
  </si>
  <si>
    <t>23.2.2.1.а</t>
  </si>
  <si>
    <t>23.2.2.2</t>
  </si>
  <si>
    <t>23.2.2.2.а</t>
  </si>
  <si>
    <t>23.2.3</t>
  </si>
  <si>
    <t>Сальдо денежных средств по инвестиционным операциям</t>
  </si>
  <si>
    <t>Сальдо денежных средств по прочей деятельности</t>
  </si>
  <si>
    <t>Сальдо денежных средств по финансовым операциям всего (строка XIV - строка XV), в том числе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</si>
  <si>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</si>
  <si>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</si>
  <si>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Сальдо денежных средств от транзитных операций</t>
  </si>
  <si>
    <t>Итого сальдо денежных средств (строка XVI + строка XVII + строка XVIII + строка XIX)</t>
  </si>
  <si>
    <t>Остаток денежных средств на начало периода</t>
  </si>
  <si>
    <t>Остаток денежных средств на конец периода</t>
  </si>
  <si>
    <t>Дебиторская задолженность на конец периода всего, в том числе:</t>
  </si>
  <si>
    <t>производство и поставка электрической энергии и мощности всего, в том числе:</t>
  </si>
  <si>
    <t>из нее просроченная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</si>
  <si>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</si>
  <si>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</si>
  <si>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</si>
  <si>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</si>
  <si>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</si>
  <si>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</si>
  <si>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</si>
  <si>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прочая деятельность</t>
  </si>
  <si>
    <t>Кредиторская задолженность на конец периода всего, в том числе:</t>
  </si>
  <si>
    <t>поставщикам топлива на технологические цели</t>
  </si>
  <si>
    <t>поставщикам покупной энергии всего, в том числе:</t>
  </si>
  <si>
    <t>на розничных рынках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</si>
  <si>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</si>
  <si>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</si>
  <si>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</si>
  <si>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23.2.4.а</t>
  </si>
  <si>
    <t>23.2.5</t>
  </si>
  <si>
    <t>23.2.5.а</t>
  </si>
  <si>
    <t>23.2.6</t>
  </si>
  <si>
    <t>23.2.6.а</t>
  </si>
  <si>
    <t>23.2.7</t>
  </si>
  <si>
    <t>23.2.7.а</t>
  </si>
  <si>
    <t>23.2.8</t>
  </si>
  <si>
    <t>23.2.8.а</t>
  </si>
  <si>
    <t>23.2.9</t>
  </si>
  <si>
    <t>23.2.9.а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</si>
  <si>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</si>
  <si>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</si>
  <si>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</si>
  <si>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</si>
  <si>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по обязательствам перед поставщиками и подрядчиками по исполнению инвестиционной программы</t>
  </si>
  <si>
    <t>прочая кредиторская задолженность</t>
  </si>
  <si>
    <t>23.3</t>
  </si>
  <si>
    <t>23.3.1</t>
  </si>
  <si>
    <t>23.3.1.1</t>
  </si>
  <si>
    <t>23.3.1.2</t>
  </si>
  <si>
    <t>23.3.1.3</t>
  </si>
  <si>
    <t>23.3.2</t>
  </si>
  <si>
    <t>23.3.3</t>
  </si>
  <si>
    <t>23.3.4</t>
  </si>
  <si>
    <t>23.3.5</t>
  </si>
  <si>
    <t>23.3.6</t>
  </si>
  <si>
    <t>23.3.7</t>
  </si>
  <si>
    <t>23.3.7.1</t>
  </si>
  <si>
    <t>23.3.7.2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</si>
  <si>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</si>
  <si>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</si>
  <si>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</si>
  <si>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</si>
  <si>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</si>
  <si>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</si>
  <si>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</si>
  <si>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</si>
  <si>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</si>
  <si>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</si>
  <si>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ТЕХНИКО-ЭКОНОМИЧЕСКИЕ ПОКАЗАТЕЛИ</t>
  </si>
  <si>
    <t>%</t>
  </si>
  <si>
    <t>-</t>
  </si>
  <si>
    <t>МВт</t>
  </si>
  <si>
    <t>Гкал/час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</si>
  <si>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</si>
  <si>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</si>
  <si>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</si>
  <si>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</si>
  <si>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24.2</t>
  </si>
  <si>
    <t>24.3</t>
  </si>
  <si>
    <t>24.4</t>
  </si>
  <si>
    <t>24.5</t>
  </si>
  <si>
    <t>24.6</t>
  </si>
  <si>
    <t>Установленная электрическая мощность</t>
  </si>
  <si>
    <t>Установленная тепловая мощность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</si>
  <si>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</si>
  <si>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</si>
  <si>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</si>
  <si>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Объем продукции отпущенной с шин (коллекторов)</t>
  </si>
  <si>
    <t>24.6.1</t>
  </si>
  <si>
    <t>24.6.2</t>
  </si>
  <si>
    <t>электрической энергии</t>
  </si>
  <si>
    <t>тепловой энергии</t>
  </si>
  <si>
    <t>тыс. Гкал</t>
  </si>
  <si>
    <t>млн кВт.ч</t>
  </si>
  <si>
    <t>24.7</t>
  </si>
  <si>
    <t>24.7.1</t>
  </si>
  <si>
    <t>24.7.2</t>
  </si>
  <si>
    <t>24.7.3</t>
  </si>
  <si>
    <t>Объем покупной продукции для последующей продажи</t>
  </si>
  <si>
    <t>электрической мощности</t>
  </si>
  <si>
    <t>24.8</t>
  </si>
  <si>
    <t>24.8.1</t>
  </si>
  <si>
    <t>24.8.2</t>
  </si>
  <si>
    <t>Объем покупной продукции на технологические цели</t>
  </si>
  <si>
    <t>24.9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</si>
  <si>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</si>
  <si>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</si>
  <si>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</si>
  <si>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</si>
  <si>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</si>
  <si>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</si>
  <si>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25.1.1</t>
  </si>
  <si>
    <t>25.2</t>
  </si>
  <si>
    <t>25.3</t>
  </si>
  <si>
    <t>25.3.1</t>
  </si>
  <si>
    <t>25.3.1.1</t>
  </si>
  <si>
    <t>25.3.1.2</t>
  </si>
  <si>
    <t>25.4</t>
  </si>
  <si>
    <t>25.5</t>
  </si>
  <si>
    <t>у.е.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</si>
  <si>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</si>
  <si>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</si>
  <si>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</si>
  <si>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25.1.1.2</t>
  </si>
  <si>
    <t>территориальные сетевые организации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</si>
  <si>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</si>
  <si>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</si>
  <si>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</si>
  <si>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</si>
  <si>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Количество условных единиц обслуживаемого электросетевого оборудования</t>
  </si>
  <si>
    <t>XXVI</t>
  </si>
  <si>
    <t>26.1</t>
  </si>
  <si>
    <t>26.2</t>
  </si>
  <si>
    <t>26.3</t>
  </si>
  <si>
    <t>В отношении сбытовой деятельности</t>
  </si>
  <si>
    <t>Полезный отпуск электрической энергии потребителям</t>
  </si>
  <si>
    <t>26.4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</si>
  <si>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</si>
  <si>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</si>
  <si>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</si>
  <si>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</si>
  <si>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</si>
  <si>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</si>
  <si>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27.1.1</t>
  </si>
  <si>
    <t>27.1.2</t>
  </si>
  <si>
    <t>27.1.3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</si>
  <si>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</si>
  <si>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</si>
  <si>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</si>
  <si>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</si>
  <si>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27.2</t>
  </si>
  <si>
    <t>27.2.1</t>
  </si>
  <si>
    <t>27.2.2</t>
  </si>
  <si>
    <t>27.3</t>
  </si>
  <si>
    <t>27.3.1</t>
  </si>
  <si>
    <t>27.3.2</t>
  </si>
  <si>
    <t>XXVIII</t>
  </si>
  <si>
    <t>чел.</t>
  </si>
  <si>
    <t>Объем потребления в Единой энергетической системе России, в том числе</t>
  </si>
  <si>
    <t>суммарный объем поставки электрической энергии на экспорт из России</t>
  </si>
  <si>
    <t>Среднесписочная численность работников</t>
  </si>
  <si>
    <t>2.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</si>
  <si>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</si>
  <si>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1.1.1.1</t>
  </si>
  <si>
    <t>1.1.1.1.1</t>
  </si>
  <si>
    <t>1.1.1.1.2</t>
  </si>
  <si>
    <t>1.1.1.1.3</t>
  </si>
  <si>
    <t>1.1.1.2</t>
  </si>
  <si>
    <t>1.1.1.3</t>
  </si>
  <si>
    <t>1.1.1.4</t>
  </si>
  <si>
    <t>1.1.1.5</t>
  </si>
  <si>
    <t>1.1.1.5.1</t>
  </si>
  <si>
    <t>1.1.1.5.1.а</t>
  </si>
  <si>
    <t>1.1.1.5.2</t>
  </si>
  <si>
    <t>1.1.1.5.2.а</t>
  </si>
  <si>
    <t>Собственные средства всего, в том числе:</t>
  </si>
  <si>
    <t>1.1.1.6</t>
  </si>
  <si>
    <t>1.1.1.7</t>
  </si>
  <si>
    <t>1.1.1.8</t>
  </si>
  <si>
    <t>1.1.1.8.1</t>
  </si>
  <si>
    <t>1.1.1.8.2</t>
  </si>
  <si>
    <t>1.1.2.1</t>
  </si>
  <si>
    <t>1.1.2.2</t>
  </si>
  <si>
    <t>1.1.2.3</t>
  </si>
  <si>
    <t>1.2.1</t>
  </si>
  <si>
    <t>1.2.1.1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</si>
  <si>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</si>
  <si>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</si>
  <si>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</si>
  <si>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</si>
  <si>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</si>
  <si>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</si>
  <si>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</si>
  <si>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</si>
  <si>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</si>
  <si>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</si>
  <si>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</si>
  <si>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</si>
  <si>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</si>
  <si>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</si>
  <si>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</si>
  <si>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</si>
  <si>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</si>
  <si>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</si>
  <si>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</si>
  <si>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</si>
  <si>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</si>
  <si>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</si>
  <si>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</si>
  <si>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</si>
  <si>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</si>
  <si>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</si>
  <si>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</si>
  <si>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</si>
  <si>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</si>
  <si>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от технологического присоединения объектов по производству электрической и тепловой энергии</t>
  </si>
  <si>
    <t>авансовое использование прибыли</t>
  </si>
  <si>
    <t>от технологического присоединения потребителей</t>
  </si>
  <si>
    <t>реализации электрической энергии и мощности</t>
  </si>
  <si>
    <t>оказания услуг по оперативно-диспетчерскому управлению в электроэнергетике всего, в том числе: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</si>
  <si>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</si>
  <si>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</si>
  <si>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</si>
  <si>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электрической энергии и мощности</t>
  </si>
  <si>
    <t>прочая текущая амортизация</t>
  </si>
  <si>
    <t>недоиспользованная амортизация прошлых лет всего, в том числе:</t>
  </si>
  <si>
    <t>1.2.3.7.1</t>
  </si>
  <si>
    <t>1.2.3.7.2</t>
  </si>
  <si>
    <t>1.4.1</t>
  </si>
  <si>
    <t>1.4.2</t>
  </si>
  <si>
    <t>Возврат налога на добавленную стоимость ****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</si>
  <si>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</si>
  <si>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</si>
  <si>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</si>
  <si>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</si>
  <si>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2.5.1.1</t>
  </si>
  <si>
    <t>2.5.2.1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</si>
  <si>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</si>
  <si>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</si>
  <si>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</si>
  <si>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</si>
  <si>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</si>
  <si>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</si>
  <si>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</si>
  <si>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</si>
  <si>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</si>
  <si>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3.2.1</t>
  </si>
  <si>
    <t>3.2.2</t>
  </si>
  <si>
    <t>3.2.3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</si>
  <si>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</si>
  <si>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</si>
  <si>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</si>
  <si>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</si>
  <si>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</si>
  <si>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</si>
  <si>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</si>
  <si>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 xml:space="preserve">Субъект Российской Федерации: 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</si>
  <si>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</si>
  <si>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</si>
  <si>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</si>
  <si>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</si>
  <si>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</si>
  <si>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</si>
  <si>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</si>
  <si>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вексели</t>
  </si>
  <si>
    <t>оказание услуг по оперативно-диспетчерскому управлению в электроэнергетике 
всего, в том числе:</t>
  </si>
  <si>
    <t>от оказания услуг по оперативно-диспетчерскому управлению в электроэнергетике 
всего, в том числе:</t>
  </si>
  <si>
    <t>Объем продукции отпущенной (проданной) потребителям</t>
  </si>
  <si>
    <t>Необходимая валовая выручка сетевой организации в части содержания (строка 1.3 - 
строка 2.2.1 - строка 2.2.2 - строка 2.1.2.1.1)</t>
  </si>
  <si>
    <t>суммарный объем потребления (покупки) электрической энергии по всем группам 
точек поставки, зарегистрированным на оптовом рынке</t>
  </si>
  <si>
    <t>амортизации, учтенной в ценах (тарифах) на услуги по передаче электрической 
энергии;</t>
  </si>
  <si>
    <t>полное наименование субъекта электроэнергетики</t>
  </si>
  <si>
    <t>Собственная необходимая валовая выручка субъекта оперативно-диспетчерского управления, всего, в том числе</t>
  </si>
  <si>
    <t>прибыль от продажи электрической энергии (мощности) по нерегулируемым ценам, всего, в том числе:</t>
  </si>
  <si>
    <t>Погашение кредитов и займов всего, в том числе:</t>
  </si>
  <si>
    <t>Сальдо денежных средств по инвестиционным операциям всего (строка XII - строка XIII), всего, в том числе</t>
  </si>
  <si>
    <t>Кабардино-Балкарская Республика</t>
  </si>
  <si>
    <t>2020</t>
  </si>
  <si>
    <t>2021 г.</t>
  </si>
  <si>
    <t>2022 г.</t>
  </si>
  <si>
    <t>2023 г.</t>
  </si>
  <si>
    <t>2020 г.</t>
  </si>
  <si>
    <t>2018 г.</t>
  </si>
  <si>
    <t>2019 г.</t>
  </si>
  <si>
    <t>АО "Каббалкэнерго"</t>
  </si>
  <si>
    <t>Прогноз</t>
  </si>
  <si>
    <r>
      <t>_____</t>
    </r>
    <r>
      <rPr>
        <b/>
        <sz val="9"/>
        <rFont val="Times New Roman"/>
        <family val="1"/>
        <charset val="204"/>
      </rPr>
      <t>Примечание:</t>
    </r>
  </si>
  <si>
    <r>
      <t>_____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В строках, содержащих слова "всего, в том числе" указывается сумма нижерасположенных строк соответствующего раздела (подраздела).</t>
    </r>
  </si>
  <si>
    <r>
      <t>_____</t>
    </r>
    <r>
      <rPr>
        <sz val="9"/>
        <rFont val="Times New Roman"/>
        <family val="1"/>
        <charset val="204"/>
      </rPr>
      <t>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  </r>
  </si>
  <si>
    <r>
      <t>_____</t>
    </r>
    <r>
      <rPr>
        <sz val="9"/>
        <rFont val="Times New Roman"/>
        <family val="1"/>
        <charset val="204"/>
      </rPr>
      <t>***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Указывается на основании заключенных договоров на оказание услуг по передаче электрической энергии.</t>
    </r>
  </si>
  <si>
    <r>
      <t>_____</t>
    </r>
    <r>
      <rPr>
        <sz val="9"/>
        <rFont val="Times New Roman"/>
        <family val="1"/>
        <charset val="204"/>
      </rPr>
      <t>****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 числе связанного с капитальными вложениями.</t>
    </r>
  </si>
  <si>
    <r>
      <t>_____</t>
    </r>
    <r>
      <rPr>
        <sz val="9"/>
        <rFont val="Times New Roman"/>
        <family val="1"/>
        <charset val="204"/>
      </rPr>
      <t>*****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Указывается суммарно стоимость оказанных субъекту электроэнергетики услуг:</t>
    </r>
  </si>
  <si>
    <r>
      <t>_____</t>
    </r>
    <r>
      <rPr>
        <sz val="9"/>
        <rFont val="Times New Roman"/>
        <family val="1"/>
        <charset val="204"/>
      </rPr>
      <t>по оперативно-диспетчерскому управлению в электроэнергетике;</t>
    </r>
  </si>
  <si>
    <r>
      <t>_____</t>
    </r>
    <r>
      <rPr>
        <sz val="9"/>
        <rFont val="Times New Roman"/>
        <family val="1"/>
        <charset val="204"/>
      </rPr>
      <t>по организации оптовой торговли электрической энергией, мощностью и иными допущенными к обращению на оптовом рынке товарами и услугами;</t>
    </r>
  </si>
  <si>
    <r>
      <t>_____</t>
    </r>
    <r>
      <rPr>
        <sz val="9"/>
        <rFont val="Times New Roman"/>
        <family val="1"/>
        <charset val="204"/>
      </rPr>
      <t>по расчету требований и обязательств участников оптового рынка.</t>
    </r>
  </si>
  <si>
    <t>План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</si>
</sst>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9" x14ac:knownFonts="1">
    <font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49" fontId="1" fillId="0" borderId="7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7" xfId="0" applyNumberFormat="1" applyFont="1" applyFill="1" applyBorder="1" applyAlignment="1">
      <alignment horizontal="left"/>
    </xf>
    <xf numFmtId="4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2" fillId="0" borderId="45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1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4" xfId="0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4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4" fontId="2" fillId="0" borderId="18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4" fontId="2" fillId="0" borderId="17" xfId="0" applyNumberFormat="1" applyFont="1" applyFill="1" applyBorder="1" applyAlignment="1">
      <alignment horizontal="center" vertical="center"/>
    </xf>
    <xf numFmtId="4" fontId="2" fillId="0" borderId="15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9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43" xfId="0" applyFont="1" applyFill="1" applyBorder="1" applyAlignment="1">
      <alignment vertical="top"/>
    </xf>
    <xf numFmtId="49" fontId="2" fillId="0" borderId="7" xfId="0" applyNumberFormat="1" applyFont="1" applyFill="1" applyBorder="1" applyAlignment="1"/>
    <xf numFmtId="0" fontId="2" fillId="0" borderId="0" xfId="0" applyFont="1" applyFill="1" applyBorder="1" applyAlignment="1">
      <alignment vertical="top"/>
    </xf>
    <xf numFmtId="49" fontId="6" fillId="0" borderId="7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7" fillId="0" borderId="45" xfId="0" applyFont="1" applyFill="1" applyBorder="1" applyAlignment="1">
      <alignment vertical="center"/>
    </xf>
    <xf numFmtId="0" fontId="5" fillId="0" borderId="37" xfId="0" applyFont="1" applyFill="1" applyBorder="1" applyAlignment="1"/>
    <xf numFmtId="0" fontId="5" fillId="0" borderId="38" xfId="0" applyFont="1" applyFill="1" applyBorder="1" applyAlignment="1"/>
    <xf numFmtId="0" fontId="5" fillId="0" borderId="39" xfId="0" applyFont="1" applyFill="1" applyBorder="1" applyAlignment="1"/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49" fontId="2" fillId="0" borderId="7" xfId="0" applyNumberFormat="1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0" fontId="2" fillId="0" borderId="23" xfId="0" applyFont="1" applyFill="1" applyBorder="1" applyAlignment="1">
      <alignment horizontal="center" vertical="top"/>
    </xf>
    <xf numFmtId="0" fontId="2" fillId="0" borderId="24" xfId="0" applyFont="1" applyFill="1" applyBorder="1" applyAlignment="1">
      <alignment horizontal="center" vertical="top"/>
    </xf>
    <xf numFmtId="0" fontId="1" fillId="0" borderId="2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left" vertical="center" wrapText="1" indent="3"/>
    </xf>
    <xf numFmtId="0" fontId="2" fillId="0" borderId="36" xfId="0" applyFont="1" applyFill="1" applyBorder="1" applyAlignment="1">
      <alignment horizontal="left" vertical="center" wrapText="1" indent="3"/>
    </xf>
    <xf numFmtId="0" fontId="2" fillId="0" borderId="34" xfId="0" applyFont="1" applyFill="1" applyBorder="1" applyAlignment="1">
      <alignment horizontal="left" vertical="center" wrapText="1" indent="3"/>
    </xf>
    <xf numFmtId="49" fontId="2" fillId="0" borderId="18" xfId="0" applyNumberFormat="1" applyFont="1" applyFill="1" applyBorder="1" applyAlignment="1">
      <alignment horizontal="center" vertical="center"/>
    </xf>
    <xf numFmtId="49" fontId="2" fillId="0" borderId="34" xfId="0" applyNumberFormat="1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left" vertical="center" wrapText="1" indent="1"/>
    </xf>
    <xf numFmtId="0" fontId="2" fillId="0" borderId="36" xfId="0" applyFont="1" applyFill="1" applyBorder="1" applyAlignment="1">
      <alignment horizontal="left" vertical="center" wrapText="1" indent="1"/>
    </xf>
    <xf numFmtId="0" fontId="2" fillId="0" borderId="34" xfId="0" applyFont="1" applyFill="1" applyBorder="1" applyAlignment="1">
      <alignment horizontal="left" vertical="center" wrapText="1" indent="1"/>
    </xf>
    <xf numFmtId="0" fontId="2" fillId="0" borderId="35" xfId="0" applyFont="1" applyFill="1" applyBorder="1" applyAlignment="1">
      <alignment horizontal="left" vertical="center" wrapText="1" indent="2"/>
    </xf>
    <xf numFmtId="0" fontId="2" fillId="0" borderId="36" xfId="0" applyFont="1" applyFill="1" applyBorder="1" applyAlignment="1">
      <alignment horizontal="left" vertical="center" wrapText="1" indent="2"/>
    </xf>
    <xf numFmtId="0" fontId="2" fillId="0" borderId="34" xfId="0" applyFont="1" applyFill="1" applyBorder="1" applyAlignment="1">
      <alignment horizontal="left" vertical="center" wrapText="1" indent="2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4" xfId="0" applyFont="1" applyFill="1" applyBorder="1" applyAlignment="1">
      <alignment horizontal="left" vertical="center" wrapText="1"/>
    </xf>
    <xf numFmtId="49" fontId="2" fillId="0" borderId="24" xfId="0" applyNumberFormat="1" applyFont="1" applyFill="1" applyBorder="1" applyAlignment="1">
      <alignment horizontal="center" vertical="center"/>
    </xf>
    <xf numFmtId="49" fontId="2" fillId="0" borderId="23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left" vertical="center" wrapText="1" indent="2"/>
    </xf>
    <xf numFmtId="0" fontId="2" fillId="0" borderId="22" xfId="0" applyFont="1" applyFill="1" applyBorder="1" applyAlignment="1">
      <alignment horizontal="left" vertical="center" wrapText="1" indent="2"/>
    </xf>
    <xf numFmtId="0" fontId="2" fillId="0" borderId="23" xfId="0" applyFont="1" applyFill="1" applyBorder="1" applyAlignment="1">
      <alignment horizontal="left" vertical="center" wrapText="1" indent="2"/>
    </xf>
    <xf numFmtId="0" fontId="2" fillId="0" borderId="21" xfId="0" applyFont="1" applyFill="1" applyBorder="1" applyAlignment="1">
      <alignment horizontal="left" vertical="center" wrapText="1" indent="1"/>
    </xf>
    <xf numFmtId="0" fontId="2" fillId="0" borderId="22" xfId="0" applyFont="1" applyFill="1" applyBorder="1" applyAlignment="1">
      <alignment horizontal="left" vertical="center" wrapText="1" indent="1"/>
    </xf>
    <xf numFmtId="0" fontId="2" fillId="0" borderId="23" xfId="0" applyFont="1" applyFill="1" applyBorder="1" applyAlignment="1">
      <alignment horizontal="left" vertical="center" wrapText="1" indent="1"/>
    </xf>
    <xf numFmtId="49" fontId="2" fillId="0" borderId="33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5" xfId="0" applyFont="1" applyFill="1" applyBorder="1" applyAlignment="1">
      <alignment horizontal="left" vertical="center" wrapText="1" indent="4"/>
    </xf>
    <xf numFmtId="0" fontId="2" fillId="0" borderId="36" xfId="0" applyFont="1" applyFill="1" applyBorder="1" applyAlignment="1">
      <alignment horizontal="left" vertical="center" wrapText="1" indent="4"/>
    </xf>
    <xf numFmtId="0" fontId="2" fillId="0" borderId="34" xfId="0" applyFont="1" applyFill="1" applyBorder="1" applyAlignment="1">
      <alignment horizontal="left" vertical="center" wrapText="1" indent="4"/>
    </xf>
    <xf numFmtId="0" fontId="2" fillId="0" borderId="35" xfId="0" applyFont="1" applyFill="1" applyBorder="1" applyAlignment="1">
      <alignment horizontal="left" vertical="center" wrapText="1" indent="5"/>
    </xf>
    <xf numFmtId="0" fontId="2" fillId="0" borderId="36" xfId="0" applyFont="1" applyFill="1" applyBorder="1" applyAlignment="1">
      <alignment horizontal="left" vertical="center" wrapText="1" indent="5"/>
    </xf>
    <xf numFmtId="0" fontId="2" fillId="0" borderId="34" xfId="0" applyFont="1" applyFill="1" applyBorder="1" applyAlignment="1">
      <alignment horizontal="left" vertical="center" wrapText="1" indent="5"/>
    </xf>
    <xf numFmtId="0" fontId="3" fillId="0" borderId="24" xfId="0" applyFont="1" applyFill="1" applyBorder="1" applyAlignment="1">
      <alignment horizontal="center" vertical="top"/>
    </xf>
    <xf numFmtId="0" fontId="3" fillId="0" borderId="23" xfId="0" applyFont="1" applyFill="1" applyBorder="1" applyAlignment="1">
      <alignment horizontal="center" vertical="top"/>
    </xf>
    <xf numFmtId="0" fontId="2" fillId="0" borderId="42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49" fontId="2" fillId="0" borderId="37" xfId="0" applyNumberFormat="1" applyFont="1" applyFill="1" applyBorder="1" applyAlignment="1">
      <alignment horizontal="center" vertical="center"/>
    </xf>
    <xf numFmtId="49" fontId="2" fillId="0" borderId="38" xfId="0" applyNumberFormat="1" applyFont="1" applyFill="1" applyBorder="1" applyAlignment="1">
      <alignment horizontal="center" vertical="center"/>
    </xf>
    <xf numFmtId="49" fontId="2" fillId="0" borderId="39" xfId="0" applyNumberFormat="1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40" xfId="0" applyNumberFormat="1" applyFont="1" applyFill="1" applyBorder="1" applyAlignment="1">
      <alignment horizontal="center" vertical="center"/>
    </xf>
    <xf numFmtId="49" fontId="2" fillId="0" borderId="41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 indent="3"/>
    </xf>
    <xf numFmtId="0" fontId="2" fillId="0" borderId="22" xfId="0" applyFont="1" applyFill="1" applyBorder="1" applyAlignment="1">
      <alignment horizontal="left" vertical="center" wrapText="1" indent="3"/>
    </xf>
    <xf numFmtId="0" fontId="2" fillId="0" borderId="23" xfId="0" applyFont="1" applyFill="1" applyBorder="1" applyAlignment="1">
      <alignment horizontal="left" vertical="center" wrapText="1" indent="3"/>
    </xf>
    <xf numFmtId="0" fontId="2" fillId="0" borderId="37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39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49" fontId="2" fillId="0" borderId="44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center" vertical="top"/>
    </xf>
    <xf numFmtId="0" fontId="2" fillId="0" borderId="19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left" vertical="center" wrapText="1" indent="1"/>
    </xf>
    <xf numFmtId="0" fontId="2" fillId="0" borderId="26" xfId="0" applyFont="1" applyFill="1" applyBorder="1" applyAlignment="1">
      <alignment horizontal="left" vertical="center" wrapText="1" indent="1"/>
    </xf>
    <xf numFmtId="49" fontId="2" fillId="0" borderId="44" xfId="0" applyNumberFormat="1" applyFont="1" applyFill="1" applyBorder="1" applyAlignment="1">
      <alignment horizontal="center" vertical="center"/>
    </xf>
    <xf numFmtId="49" fontId="2" fillId="0" borderId="26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/>
    </xf>
    <xf numFmtId="0" fontId="1" fillId="0" borderId="35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%20&#1101;&#1082;&#1086;&#1085;&#1086;&#1084;&#1080;&#1082;&#1080;/_&#1041;&#1055;/&#1041;&#1055;%202020/&#1044;&#1044;/2020-2024_&#1054;&#1058;&#1069;&#1055;_(&#1062;&#1060;&#1054;)_&#1060;&#1048;&#1053;&#1040;&#1051;_&#1073;&#108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77;&#1087;&#1072;&#1088;&#1090;&#1072;&#1084;&#1077;&#1085;&#1090;%20&#1101;&#1082;&#1086;&#1085;&#1086;&#1084;&#1080;&#1082;&#1080;/&#1055;&#1088;&#1086;&#1077;&#1082;&#1090;&#1099;%20&#1056;&#1054;&#1057;&#1057;&#1045;&#1058;&#1048;/2019%20&#1055;&#1056;&#1048;&#1059;&#1069;/&#1043;&#1055;/2020%20&#1055;&#1056;&#1048;&#1059;&#1069;%20&#1043;&#1055;%20&#1060;&#1069;&#1052;/2020%20&#1055;&#1056;&#1048;&#1059;&#1069;%20&#1060;&#1069;&#1052;%20&#1050;&#1041;&#1069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8%20&#1075;&#1086;&#1076;\&#1040;&#1056;&#1052;%20&#1041;&#1055;%20&#1075;&#1086;&#1076;\&#1050;&#1041;&#1069;_&#1060;&#1086;&#1088;&#1084;&#1072;&#1090;%20&#1044;&#1055;&#1053;%20&#1076;&#1083;&#1103;%20&#1041;&#1055;%202018%20&#1075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19%20&#1075;&#1086;&#1076;\&#1060;&#1040;&#1050;&#1058;%202019%20&#1075;&#1086;&#1076;&#1072;_&#1082;&#1086;&#1088;&#1088;&#1077;&#1082;&#1090;&#1080;&#1088;&#1086;&#1074;&#1082;&#1072;%20&#1044;&#1057;%20_&#1073;&#1077;&#1079;%20&#1084;&#1080;&#1085;&#1091;&#1089;&#1086;&#1074;\&#1041;&#1044;&#1044;&#1057;_&#1050;&#1072;&#1073;&#1073;&#1072;&#1083;&#1082;&#1101;&#1085;&#1077;&#1088;&#1075;&#1086;_&#1041;&#1055;_2019_10.03_&#1073;&#1089;_16.03.20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2020%20&#1075;&#1086;&#1076;\&#1041;&#1044;&#1044;&#1057;%20&#1076;&#1083;&#1103;%20&#1041;&#1055;\&#1074;&#1077;&#1088;&#1089;&#1080;&#1103;_27.01.2020\&#1085;&#1086;&#1074;&#1072;&#1103;%20&#1088;&#1077;&#1089;&#1090;&#1088;%20&#1054;&#1056;&#1069;&#1052;\&#1041;&#1044;&#1044;&#1057;_&#1050;&#1072;&#1073;&#1073;&#1072;&#1083;&#1082;&#1101;&#1085;&#1077;&#1088;&#1075;&#1086;_&#1041;&#1055;_2020_&#1088;&#1077;&#1089;&#1090;&#1088;_&#1073;&#108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1_&#1055;&#1088;&#1086;&#1077;&#1082;&#1090;_&#1080;&#1085;&#1074;&#1077;&#1089;&#1090;&#1080;&#1094;&#1080;&#1086;&#1085;&#1085;&#1086;&#1081;%20&#1087;&#1088;&#1086;&#1075;&#1088;&#1072;&#1084;&#1084;&#1099;_&#1085;&#1072;%202021-2023_&#1089;_&#1055;&#1056;&#1048;&#1059;&#1069;_&#1043;&#105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БФ"/>
      <sheetName val="КЧФ"/>
      <sheetName val="СОФ"/>
      <sheetName val="СОФ_сбыт"/>
      <sheetName val="СТЭ"/>
      <sheetName val="ИНГФ"/>
      <sheetName val="ИНГФсбыт"/>
      <sheetName val="Дагэнерго"/>
      <sheetName val="Дагэнерго_сбыт"/>
      <sheetName val="филиалы"/>
      <sheetName val="ИА"/>
      <sheetName val="МРСК СК"/>
      <sheetName val="ДСК"/>
      <sheetName val="ЧЕЧ"/>
      <sheetName val="ЧЕЧсбыт"/>
      <sheetName val="КБЭ"/>
      <sheetName val="КЧЭ"/>
      <sheetName val="СКЭ"/>
      <sheetName val="СКЭ_(-ГП)"/>
      <sheetName val="КЭС"/>
      <sheetName val="ДЭСК"/>
      <sheetName val="ДЭСК_(-ГП)"/>
      <sheetName val="Проверка с Д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1">
          <cell r="BD21">
            <v>4961912.3737695329</v>
          </cell>
        </row>
        <row r="22">
          <cell r="BD22">
            <v>3760.4514200124995</v>
          </cell>
          <cell r="CB22">
            <v>3782.600478876373</v>
          </cell>
          <cell r="CF22">
            <v>3815.887363090485</v>
          </cell>
          <cell r="CJ22">
            <v>3849.4671718856812</v>
          </cell>
        </row>
        <row r="31">
          <cell r="BD31">
            <v>617.1400000000001</v>
          </cell>
          <cell r="CB31">
            <v>620.7749546</v>
          </cell>
          <cell r="CF31">
            <v>626.23777420047998</v>
          </cell>
          <cell r="CJ31">
            <v>631.74866661344424</v>
          </cell>
        </row>
        <row r="33">
          <cell r="BD33">
            <v>2058631.6673362809</v>
          </cell>
          <cell r="CB33">
            <v>2131447.7817788441</v>
          </cell>
          <cell r="CF33">
            <v>2222684.7933391528</v>
          </cell>
          <cell r="CJ33">
            <v>2540770.660091518</v>
          </cell>
        </row>
        <row r="37">
          <cell r="BD37">
            <v>6191</v>
          </cell>
          <cell r="CB37">
            <v>6227.4649899999986</v>
          </cell>
          <cell r="CF37">
            <v>6282.2666819119986</v>
          </cell>
          <cell r="CJ37">
            <v>6337.5506287128246</v>
          </cell>
        </row>
        <row r="38">
          <cell r="BD38">
            <v>10441.208032843755</v>
          </cell>
          <cell r="CB38">
            <v>8036.5638612238708</v>
          </cell>
          <cell r="CF38">
            <v>8192.6868271289713</v>
          </cell>
          <cell r="CJ38">
            <v>8353.6136058385018</v>
          </cell>
        </row>
        <row r="40">
          <cell r="BD40">
            <v>3911.8609499999998</v>
          </cell>
          <cell r="CB40">
            <v>3974.5912697954996</v>
          </cell>
          <cell r="CF40">
            <v>4047.3030169697004</v>
          </cell>
          <cell r="CJ40">
            <v>4122.1688835190334</v>
          </cell>
        </row>
        <row r="41">
          <cell r="BD41">
            <v>154.84288948711185</v>
          </cell>
          <cell r="CB41">
            <v>165.082308121751</v>
          </cell>
          <cell r="CF41">
            <v>175.86914887770922</v>
          </cell>
          <cell r="CJ41">
            <v>183.6267252449291</v>
          </cell>
        </row>
        <row r="43">
          <cell r="BD43">
            <v>2401200.2119060657</v>
          </cell>
          <cell r="CB43">
            <v>2535143.2031236663</v>
          </cell>
          <cell r="CF43">
            <v>2674398.0566576836</v>
          </cell>
          <cell r="CJ43">
            <v>2793214.7999125035</v>
          </cell>
        </row>
        <row r="48">
          <cell r="BD48">
            <v>307.85000000000002</v>
          </cell>
          <cell r="CB48">
            <v>309.66323649999998</v>
          </cell>
          <cell r="CF48">
            <v>309.38453958715002</v>
          </cell>
          <cell r="CJ48">
            <v>309.10609350152151</v>
          </cell>
        </row>
        <row r="49">
          <cell r="BD49">
            <v>1560.5231218684146</v>
          </cell>
        </row>
        <row r="51">
          <cell r="BD51">
            <v>268984.4847575333</v>
          </cell>
          <cell r="CB51">
            <v>278936.91069356201</v>
          </cell>
          <cell r="CF51">
            <v>290094.38712130452</v>
          </cell>
          <cell r="CJ51">
            <v>301698.16260615672</v>
          </cell>
        </row>
        <row r="52">
          <cell r="BD52">
            <v>81571.395345032579</v>
          </cell>
          <cell r="CB52">
            <v>85565.164165403388</v>
          </cell>
          <cell r="CF52">
            <v>88987.770732019533</v>
          </cell>
          <cell r="CJ52">
            <v>92547.281561300333</v>
          </cell>
        </row>
        <row r="55">
          <cell r="BD55">
            <v>0</v>
          </cell>
          <cell r="CB55">
            <v>0</v>
          </cell>
          <cell r="CF55">
            <v>0</v>
          </cell>
          <cell r="CJ55">
            <v>0</v>
          </cell>
        </row>
        <row r="56">
          <cell r="BD56">
            <v>0</v>
          </cell>
          <cell r="CB56">
            <v>0</v>
          </cell>
          <cell r="CF56">
            <v>0</v>
          </cell>
          <cell r="CJ56">
            <v>0</v>
          </cell>
        </row>
        <row r="57">
          <cell r="BD57">
            <v>60</v>
          </cell>
          <cell r="CB57">
            <v>60.528000000000006</v>
          </cell>
          <cell r="CF57">
            <v>61.060646400000003</v>
          </cell>
          <cell r="CJ57">
            <v>61.59798008832</v>
          </cell>
        </row>
        <row r="58">
          <cell r="BD58">
            <v>320</v>
          </cell>
          <cell r="CB58">
            <v>322.81599999999997</v>
          </cell>
          <cell r="CF58">
            <v>325.65678079999998</v>
          </cell>
          <cell r="CJ58">
            <v>328.52256047103998</v>
          </cell>
        </row>
        <row r="59">
          <cell r="BD59">
            <v>0</v>
          </cell>
          <cell r="CB59">
            <v>0</v>
          </cell>
          <cell r="CF59">
            <v>0</v>
          </cell>
          <cell r="CJ59">
            <v>0</v>
          </cell>
        </row>
        <row r="60">
          <cell r="BD60">
            <v>0</v>
          </cell>
          <cell r="CB60">
            <v>0</v>
          </cell>
          <cell r="CF60">
            <v>0</v>
          </cell>
          <cell r="CJ60">
            <v>0</v>
          </cell>
        </row>
        <row r="61">
          <cell r="BD61">
            <v>337.23199999999997</v>
          </cell>
          <cell r="CB61">
            <v>337.45129648</v>
          </cell>
          <cell r="CF61">
            <v>337.78086788902402</v>
          </cell>
          <cell r="CJ61">
            <v>338.11333952644742</v>
          </cell>
        </row>
        <row r="62">
          <cell r="BD62">
            <v>2181.9009999999998</v>
          </cell>
          <cell r="CB62">
            <v>2243.9653369999996</v>
          </cell>
          <cell r="CF62">
            <v>2314.8936896799996</v>
          </cell>
          <cell r="CJ62">
            <v>2388.4934701721595</v>
          </cell>
        </row>
        <row r="63">
          <cell r="BD63">
            <v>17438.578239999999</v>
          </cell>
          <cell r="CB63">
            <v>17602.310768511998</v>
          </cell>
          <cell r="CF63">
            <v>17767.888247274906</v>
          </cell>
          <cell r="CJ63">
            <v>17935.362335850925</v>
          </cell>
        </row>
        <row r="64">
          <cell r="BD64">
            <v>0</v>
          </cell>
          <cell r="CB64">
            <v>0</v>
          </cell>
          <cell r="CF64">
            <v>0</v>
          </cell>
          <cell r="CJ64">
            <v>0</v>
          </cell>
        </row>
        <row r="65">
          <cell r="BD65">
            <v>212.60000000000002</v>
          </cell>
          <cell r="CB65">
            <v>214.47088000000002</v>
          </cell>
          <cell r="CF65">
            <v>216.35822374400004</v>
          </cell>
          <cell r="CJ65">
            <v>218.26217611294726</v>
          </cell>
        </row>
        <row r="66">
          <cell r="BD66">
            <v>92010.385357122082</v>
          </cell>
          <cell r="CB66">
            <v>92712.606077500328</v>
          </cell>
          <cell r="CF66">
            <v>95307.681641358446</v>
          </cell>
          <cell r="CJ66">
            <v>98045.268496530072</v>
          </cell>
        </row>
        <row r="67">
          <cell r="BD67">
            <v>889.39699999999993</v>
          </cell>
          <cell r="CB67">
            <v>903.33252386499998</v>
          </cell>
          <cell r="CF67">
            <v>919.55506796301199</v>
          </cell>
          <cell r="CJ67">
            <v>936.25129916460639</v>
          </cell>
        </row>
        <row r="79">
          <cell r="BD79">
            <v>42000</v>
          </cell>
          <cell r="CB79">
            <v>43680</v>
          </cell>
          <cell r="CF79">
            <v>45427.200000000004</v>
          </cell>
          <cell r="CJ79">
            <v>47244.288000000008</v>
          </cell>
        </row>
        <row r="81">
          <cell r="BD81">
            <v>10717</v>
          </cell>
          <cell r="CB81">
            <v>10690.38285</v>
          </cell>
          <cell r="CF81">
            <v>10690.958219079999</v>
          </cell>
          <cell r="CJ81">
            <v>10691.538651407904</v>
          </cell>
        </row>
        <row r="83">
          <cell r="BD83">
            <v>31010.206607681179</v>
          </cell>
          <cell r="CB83">
            <v>39724.32699336631</v>
          </cell>
          <cell r="CF83">
            <v>28101.254168412404</v>
          </cell>
          <cell r="CJ83">
            <v>16478.181343458498</v>
          </cell>
        </row>
        <row r="84">
          <cell r="BD84">
            <v>803.83276595130019</v>
          </cell>
          <cell r="CB84">
            <v>833.57457829149826</v>
          </cell>
          <cell r="CF84">
            <v>866.91756142315819</v>
          </cell>
          <cell r="CJ84">
            <v>901.59426388008455</v>
          </cell>
        </row>
        <row r="85">
          <cell r="BD85">
            <v>1258.9532448000004</v>
          </cell>
          <cell r="CB85">
            <v>1305.5345148576005</v>
          </cell>
          <cell r="CF85">
            <v>1357.7558954519045</v>
          </cell>
          <cell r="CJ85">
            <v>1412.0661312699808</v>
          </cell>
        </row>
        <row r="86">
          <cell r="BD86">
            <v>204</v>
          </cell>
          <cell r="CB86">
            <v>204.0352</v>
          </cell>
          <cell r="CF86">
            <v>204.07070976</v>
          </cell>
          <cell r="CJ86">
            <v>204.106532005888</v>
          </cell>
        </row>
        <row r="87">
          <cell r="BD87">
            <v>0</v>
          </cell>
          <cell r="CB87">
            <v>0</v>
          </cell>
          <cell r="CF87">
            <v>0</v>
          </cell>
          <cell r="CJ87">
            <v>0</v>
          </cell>
        </row>
        <row r="88">
          <cell r="BD88">
            <v>320053.0874253994</v>
          </cell>
          <cell r="CB88">
            <v>0</v>
          </cell>
          <cell r="CF88">
            <v>0</v>
          </cell>
          <cell r="CJ88">
            <v>0</v>
          </cell>
        </row>
        <row r="89">
          <cell r="BD89">
            <v>25845.543510000003</v>
          </cell>
          <cell r="CB89">
            <v>66654.825924910998</v>
          </cell>
          <cell r="CF89">
            <v>67206.188393050208</v>
          </cell>
          <cell r="CJ89">
            <v>37762.402850909042</v>
          </cell>
        </row>
        <row r="90">
          <cell r="BD90">
            <v>15390.851971184882</v>
          </cell>
          <cell r="CB90">
            <v>14886.288444417065</v>
          </cell>
          <cell r="CF90">
            <v>15035.445874377869</v>
          </cell>
          <cell r="CJ90">
            <v>15188.898595540179</v>
          </cell>
        </row>
        <row r="267">
          <cell r="BD267">
            <v>4550.1500799999994</v>
          </cell>
          <cell r="CB267">
            <v>4755.9087399999999</v>
          </cell>
          <cell r="CF267">
            <v>4989.1049300000004</v>
          </cell>
          <cell r="CJ267">
            <v>5234.05422</v>
          </cell>
        </row>
      </sheetData>
      <sheetData sheetId="16">
        <row r="21">
          <cell r="BD21">
            <v>2418169.433491122</v>
          </cell>
        </row>
      </sheetData>
      <sheetData sheetId="17"/>
      <sheetData sheetId="18"/>
      <sheetData sheetId="19">
        <row r="21">
          <cell r="BD21">
            <v>1701496.9155436982</v>
          </cell>
        </row>
      </sheetData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ЭМ+эффекты"/>
      <sheetName val="ФЭМ сравнение с БП"/>
      <sheetName val="Источник ПРИУЭ"/>
    </sheetNames>
    <sheetDataSet>
      <sheetData sheetId="0"/>
      <sheetData sheetId="1">
        <row r="13">
          <cell r="G13">
            <v>5330757.6944117667</v>
          </cell>
          <cell r="H13">
            <v>5544521.6147016184</v>
          </cell>
          <cell r="I13">
            <v>5966638.0418008491</v>
          </cell>
        </row>
        <row r="21">
          <cell r="G21">
            <v>1664.8889447252145</v>
          </cell>
          <cell r="H21">
            <v>13304.12442736831</v>
          </cell>
          <cell r="I21">
            <v>22783.900474254191</v>
          </cell>
        </row>
        <row r="53">
          <cell r="G53">
            <v>19762.504375000062</v>
          </cell>
          <cell r="H53">
            <v>13066.054450000005</v>
          </cell>
          <cell r="I53">
            <v>13054.318999999974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Ф7 Приток БП"/>
      <sheetName val="Ф7 Отток БП"/>
      <sheetName val="11.БДДС"/>
      <sheetName val="11.БДДС корр"/>
      <sheetName val="Ф7 Приток БП корр.2"/>
      <sheetName val="11.БДДС (ДПН) ЧЭ корр.2"/>
      <sheetName val="Ф7 Отток БП корр.1 (2)"/>
      <sheetName val="Ф8 Приток факт"/>
      <sheetName val="Ф8 Отток факт"/>
      <sheetName val="секвесты"/>
      <sheetName val="11.БДДС (ДПН) КБЭ факт"/>
      <sheetName val="БДДС укрупн."/>
      <sheetName val="БДДС по группам"/>
      <sheetName val="АНАЛ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3">
          <cell r="H13">
            <v>4956324.2678630007</v>
          </cell>
        </row>
        <row r="14">
          <cell r="H14">
            <v>4928262.2870500004</v>
          </cell>
        </row>
        <row r="96">
          <cell r="H96">
            <v>7262.074950000002</v>
          </cell>
        </row>
        <row r="119">
          <cell r="H119">
            <v>0</v>
          </cell>
        </row>
        <row r="141">
          <cell r="H141">
            <v>-4729.3808399999998</v>
          </cell>
        </row>
        <row r="143">
          <cell r="H143">
            <v>0</v>
          </cell>
        </row>
        <row r="151">
          <cell r="H151">
            <v>7958.7916700000023</v>
          </cell>
        </row>
        <row r="163">
          <cell r="N163">
            <v>20181933.449999999</v>
          </cell>
        </row>
        <row r="233">
          <cell r="H233">
            <v>962.11000999999999</v>
          </cell>
        </row>
      </sheetData>
      <sheetData sheetId="9">
        <row r="13">
          <cell r="H13">
            <v>4943491.918629</v>
          </cell>
        </row>
        <row r="21">
          <cell r="H21">
            <v>1887944.29525</v>
          </cell>
        </row>
        <row r="35">
          <cell r="H35">
            <v>14299.52414</v>
          </cell>
        </row>
        <row r="44">
          <cell r="H44">
            <v>17432.648659999999</v>
          </cell>
        </row>
        <row r="49">
          <cell r="H49">
            <v>2637949.2387089999</v>
          </cell>
        </row>
        <row r="54">
          <cell r="H54">
            <v>2634984.4850989999</v>
          </cell>
        </row>
        <row r="55">
          <cell r="H55">
            <v>0</v>
          </cell>
        </row>
        <row r="58">
          <cell r="H58">
            <v>2634984.4850989999</v>
          </cell>
        </row>
        <row r="70">
          <cell r="H70">
            <v>252430.96969999999</v>
          </cell>
        </row>
        <row r="75">
          <cell r="H75">
            <v>71358.553480000002</v>
          </cell>
        </row>
        <row r="99">
          <cell r="H99">
            <v>17544.46198</v>
          </cell>
        </row>
        <row r="102">
          <cell r="H102">
            <v>1041.25766</v>
          </cell>
        </row>
        <row r="112">
          <cell r="H112">
            <v>44908.37</v>
          </cell>
        </row>
        <row r="114">
          <cell r="H114">
            <v>0</v>
          </cell>
        </row>
        <row r="117">
          <cell r="H117">
            <v>0</v>
          </cell>
        </row>
        <row r="154">
          <cell r="H154">
            <v>-81.349759999999947</v>
          </cell>
        </row>
        <row r="175">
          <cell r="H175">
            <v>2131.8829799999999</v>
          </cell>
        </row>
        <row r="197">
          <cell r="H197">
            <v>0</v>
          </cell>
        </row>
        <row r="235">
          <cell r="H235">
            <v>-3246.3156300000001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Ф7 Отток корр.1 (3 кв)"/>
      <sheetName val="Ф7 Отток корр.1"/>
      <sheetName val="укрупненно"/>
      <sheetName val="11.БДДС (ДПН)_факт"/>
      <sheetName val="Ф8 Приток факт"/>
      <sheetName val="Ф8 Отток факт"/>
      <sheetName val="ПЛАН-ФАКТ_1 полугодие"/>
      <sheetName val="ПЛАН-ФАКТ_9 месяцев"/>
      <sheetName val="11.БДДС (ДПН)"/>
      <sheetName val="пояснения"/>
      <sheetName val="анализ Ф7 1полуг."/>
      <sheetName val="анализ Ф7 9 мес. (первоначальн)"/>
      <sheetName val="анализ Ф7 7 мес"/>
      <sheetName val="анализ Ф7 8 мес"/>
      <sheetName val="анализ Ф7 8 мес (первоначальн)"/>
      <sheetName val="анализ Ф7 сентябрь-декабрь"/>
      <sheetName val="анализ Ф7 го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3">
          <cell r="J13">
            <v>6246960.5663999999</v>
          </cell>
        </row>
        <row r="18">
          <cell r="J18">
            <v>5343168.2344299993</v>
          </cell>
        </row>
        <row r="53">
          <cell r="J53">
            <v>16</v>
          </cell>
        </row>
        <row r="56">
          <cell r="J56">
            <v>8962.24197000001</v>
          </cell>
        </row>
        <row r="58">
          <cell r="J58">
            <v>0</v>
          </cell>
        </row>
        <row r="68">
          <cell r="J68">
            <v>1632.9078400000089</v>
          </cell>
        </row>
        <row r="69">
          <cell r="J69">
            <v>0</v>
          </cell>
        </row>
        <row r="70">
          <cell r="J70">
            <v>0</v>
          </cell>
        </row>
        <row r="73">
          <cell r="J73">
            <v>7329.3341300000002</v>
          </cell>
        </row>
        <row r="82">
          <cell r="J82">
            <v>392.6</v>
          </cell>
        </row>
      </sheetData>
      <sheetData sheetId="6">
        <row r="13">
          <cell r="J13">
            <v>6251335.839373</v>
          </cell>
        </row>
        <row r="15">
          <cell r="J15">
            <v>1230.6599999999999</v>
          </cell>
        </row>
        <row r="18">
          <cell r="J18">
            <v>2226609.6757499999</v>
          </cell>
        </row>
        <row r="20">
          <cell r="J20">
            <v>7259.3257399999993</v>
          </cell>
        </row>
        <row r="36">
          <cell r="J36">
            <v>3028814.3613099996</v>
          </cell>
        </row>
        <row r="38">
          <cell r="J38">
            <v>0</v>
          </cell>
        </row>
        <row r="40">
          <cell r="J40">
            <v>3023898.9021199998</v>
          </cell>
        </row>
        <row r="51">
          <cell r="J51">
            <v>240906.60213999997</v>
          </cell>
        </row>
        <row r="56">
          <cell r="J56">
            <v>70015.874379999994</v>
          </cell>
        </row>
        <row r="59">
          <cell r="J59">
            <v>64973.36823</v>
          </cell>
        </row>
        <row r="68">
          <cell r="J68">
            <v>2.0999999999986585E-2</v>
          </cell>
        </row>
        <row r="73">
          <cell r="J73">
            <v>17060.660160000003</v>
          </cell>
        </row>
        <row r="153">
          <cell r="J153">
            <v>0</v>
          </cell>
        </row>
        <row r="239">
          <cell r="J239">
            <v>0</v>
          </cell>
        </row>
        <row r="242">
          <cell r="J242">
            <v>0</v>
          </cell>
        </row>
        <row r="256">
          <cell r="J256">
            <v>103.20669000000021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"/>
      <sheetName val="Ф7 Приток БП утв."/>
      <sheetName val="Ф7 Отток БП утв."/>
      <sheetName val="11.БДДС (ДПН) утв"/>
      <sheetName val="Укрупненный"/>
      <sheetName val="анализ Ф7 год"/>
      <sheetName val="Ф8 Приток факт"/>
      <sheetName val="Ф8 Отток факт"/>
      <sheetName val="Ф7 Приток прогноз"/>
      <sheetName val="Ф7 Отток прогноз"/>
      <sheetName val="цессия"/>
    </sheetNames>
    <sheetDataSet>
      <sheetData sheetId="0" refreshError="1"/>
      <sheetData sheetId="1">
        <row r="13">
          <cell r="J13">
            <v>5694275.1305187438</v>
          </cell>
          <cell r="AY13">
            <v>6238363.8296388006</v>
          </cell>
          <cell r="AZ13">
            <v>6546619.245272655</v>
          </cell>
          <cell r="BA13">
            <v>7098721.6205862891</v>
          </cell>
        </row>
        <row r="18">
          <cell r="J18">
            <v>5689684.5888147289</v>
          </cell>
          <cell r="AY18">
            <v>6233746.2496441491</v>
          </cell>
          <cell r="AZ18">
            <v>6541961.0305740507</v>
          </cell>
          <cell r="BA18">
            <v>7094022.4135983372</v>
          </cell>
        </row>
        <row r="56">
          <cell r="J56">
            <v>1048229.973945856</v>
          </cell>
          <cell r="AY56">
            <v>2696107.4211170613</v>
          </cell>
          <cell r="AZ56">
            <v>812315.65076064866</v>
          </cell>
          <cell r="BA56">
            <v>800692.58024439425</v>
          </cell>
        </row>
        <row r="57">
          <cell r="J57">
            <v>0</v>
          </cell>
          <cell r="AY57">
            <v>1872168.6975314587</v>
          </cell>
          <cell r="AZ57">
            <v>812315.65076064866</v>
          </cell>
          <cell r="BA57">
            <v>800692.58024439425</v>
          </cell>
        </row>
        <row r="58">
          <cell r="J58">
            <v>1048229.973945856</v>
          </cell>
          <cell r="AY58">
            <v>823938.72358560259</v>
          </cell>
          <cell r="AZ58">
            <v>0</v>
          </cell>
          <cell r="BA58">
            <v>0</v>
          </cell>
        </row>
        <row r="68">
          <cell r="J68">
            <v>0</v>
          </cell>
          <cell r="AY68">
            <v>0</v>
          </cell>
          <cell r="AZ68">
            <v>0</v>
          </cell>
          <cell r="BA68">
            <v>0</v>
          </cell>
        </row>
        <row r="69">
          <cell r="J69">
            <v>0</v>
          </cell>
          <cell r="AY69">
            <v>0</v>
          </cell>
          <cell r="AZ69">
            <v>0</v>
          </cell>
          <cell r="BA69">
            <v>0</v>
          </cell>
        </row>
        <row r="70">
          <cell r="J70">
            <v>0</v>
          </cell>
          <cell r="AY70">
            <v>0</v>
          </cell>
          <cell r="AZ70">
            <v>0</v>
          </cell>
          <cell r="BA70">
            <v>0</v>
          </cell>
        </row>
        <row r="73">
          <cell r="J73">
            <v>0</v>
          </cell>
          <cell r="AY73">
            <v>0</v>
          </cell>
          <cell r="AZ73">
            <v>0</v>
          </cell>
          <cell r="BA73">
            <v>0</v>
          </cell>
        </row>
        <row r="82">
          <cell r="J82">
            <v>3155.3370336000003</v>
          </cell>
          <cell r="AY82">
            <v>3182.2292516253306</v>
          </cell>
          <cell r="AZ82">
            <v>3210.232869039633</v>
          </cell>
          <cell r="BA82">
            <v>3238.4829182871813</v>
          </cell>
        </row>
      </sheetData>
      <sheetData sheetId="2">
        <row r="13">
          <cell r="J13">
            <v>6742666.7339461306</v>
          </cell>
          <cell r="AY13">
            <v>7062516.3866670281</v>
          </cell>
          <cell r="AZ13">
            <v>7341193.3433559882</v>
          </cell>
          <cell r="BA13">
            <v>7914318.3674199041</v>
          </cell>
        </row>
        <row r="15">
          <cell r="J15">
            <v>740.56799999999998</v>
          </cell>
          <cell r="AY15">
            <v>744.92994551999993</v>
          </cell>
          <cell r="AZ15">
            <v>751.48532904057595</v>
          </cell>
          <cell r="BA15">
            <v>758.09839993613309</v>
          </cell>
        </row>
        <row r="18">
          <cell r="J18">
            <v>2647390.4720268901</v>
          </cell>
          <cell r="AY18">
            <v>2714292.1402730271</v>
          </cell>
          <cell r="AZ18">
            <v>2822805.2452306845</v>
          </cell>
          <cell r="BA18">
            <v>3203502.9806067944</v>
          </cell>
        </row>
        <row r="20">
          <cell r="J20">
            <v>26813.220557991452</v>
          </cell>
          <cell r="AY20">
            <v>27751.683277521184</v>
          </cell>
          <cell r="AZ20">
            <v>28722.992192234422</v>
          </cell>
          <cell r="BA20">
            <v>29728.296918962627</v>
          </cell>
        </row>
        <row r="36">
          <cell r="J36">
            <v>3046691.9425049121</v>
          </cell>
          <cell r="AY36">
            <v>3032902.7813806785</v>
          </cell>
          <cell r="AZ36">
            <v>3158119.9958678116</v>
          </cell>
          <cell r="BA36">
            <v>3552919.3268873002</v>
          </cell>
        </row>
        <row r="38">
          <cell r="J38">
            <v>185.81146738453421</v>
          </cell>
          <cell r="AY38">
            <v>0</v>
          </cell>
          <cell r="AZ38">
            <v>0</v>
          </cell>
          <cell r="BA38">
            <v>0</v>
          </cell>
        </row>
        <row r="40">
          <cell r="J40">
            <v>3041442.4778975276</v>
          </cell>
          <cell r="AY40">
            <v>3027761.6759731239</v>
          </cell>
          <cell r="AZ40">
            <v>3152891.9707999434</v>
          </cell>
          <cell r="BA40">
            <v>3547601.7969148755</v>
          </cell>
        </row>
        <row r="51">
          <cell r="J51">
            <v>269788.31752348458</v>
          </cell>
          <cell r="AY51">
            <v>279770.48527185351</v>
          </cell>
          <cell r="AZ51">
            <v>290961.30468272767</v>
          </cell>
          <cell r="BA51">
            <v>302599.75687003683</v>
          </cell>
        </row>
        <row r="56">
          <cell r="J56">
            <v>81571.395345032593</v>
          </cell>
          <cell r="AY56">
            <v>85565.164165403388</v>
          </cell>
          <cell r="AZ56">
            <v>88987.770732019533</v>
          </cell>
          <cell r="BA56">
            <v>92547.281561300333</v>
          </cell>
        </row>
        <row r="59">
          <cell r="J59">
            <v>82443.777144982043</v>
          </cell>
          <cell r="AY59">
            <v>97823.758234758643</v>
          </cell>
          <cell r="AZ59">
            <v>102343.28998791621</v>
          </cell>
          <cell r="BA59">
            <v>112033.01614000546</v>
          </cell>
        </row>
        <row r="68">
          <cell r="J68">
            <v>0</v>
          </cell>
          <cell r="AY68">
            <v>0</v>
          </cell>
          <cell r="AZ68">
            <v>0</v>
          </cell>
          <cell r="BA68">
            <v>0</v>
          </cell>
        </row>
        <row r="73">
          <cell r="J73">
            <v>20860.453887999996</v>
          </cell>
          <cell r="AY73">
            <v>21054.298922214395</v>
          </cell>
          <cell r="AZ73">
            <v>21250.253896729886</v>
          </cell>
          <cell r="BA73">
            <v>21448.37280302111</v>
          </cell>
        </row>
        <row r="153">
          <cell r="J153">
            <v>31010.206607681179</v>
          </cell>
          <cell r="AY153">
            <v>47394.848516214312</v>
          </cell>
          <cell r="AZ153">
            <v>43917.532814128368</v>
          </cell>
          <cell r="BA153">
            <v>70562.564192440637</v>
          </cell>
        </row>
        <row r="239">
          <cell r="J239">
            <v>0</v>
          </cell>
          <cell r="AY239">
            <v>0</v>
          </cell>
          <cell r="AZ239">
            <v>0</v>
          </cell>
          <cell r="BA239">
            <v>0</v>
          </cell>
        </row>
        <row r="242">
          <cell r="J242">
            <v>0</v>
          </cell>
          <cell r="AY242">
            <v>1872168.6975314587</v>
          </cell>
          <cell r="AZ242">
            <v>0</v>
          </cell>
          <cell r="BA242">
            <v>0</v>
          </cell>
        </row>
        <row r="256">
          <cell r="J256">
            <v>2968.9338492000002</v>
          </cell>
          <cell r="AY256">
            <v>2968.9338492000002</v>
          </cell>
          <cell r="AZ256">
            <v>2968.9338492000002</v>
          </cell>
          <cell r="BA256">
            <v>2968.9338492000002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Форма 5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</sheetNames>
    <sheetDataSet>
      <sheetData sheetId="0" refreshError="1">
        <row r="49">
          <cell r="BW49">
            <v>61.516542952000002</v>
          </cell>
          <cell r="BY49">
            <v>60.722166602240009</v>
          </cell>
          <cell r="CA49">
            <v>69.486678964977656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7"/>
  <sheetViews>
    <sheetView tabSelected="1" zoomScale="85" zoomScaleNormal="85" zoomScaleSheetLayoutView="130" workbookViewId="0">
      <pane xSplit="8" ySplit="18" topLeftCell="I386" activePane="bottomRight" state="frozen"/>
      <selection pane="topRight" activeCell="I1" sqref="I1"/>
      <selection pane="bottomLeft" activeCell="A19" sqref="A19"/>
      <selection pane="bottomRight" activeCell="J17" sqref="J17"/>
    </sheetView>
  </sheetViews>
  <sheetFormatPr defaultRowHeight="12" x14ac:dyDescent="0.2"/>
  <cols>
    <col min="1" max="1" width="1.42578125" style="6" customWidth="1"/>
    <col min="2" max="2" width="3.42578125" style="6" customWidth="1"/>
    <col min="3" max="3" width="11.42578125" style="6" customWidth="1"/>
    <col min="4" max="4" width="7.28515625" style="6" customWidth="1"/>
    <col min="5" max="5" width="14" style="6" customWidth="1"/>
    <col min="6" max="6" width="6.42578125" style="6" customWidth="1"/>
    <col min="7" max="7" width="4.5703125" style="6" customWidth="1"/>
    <col min="8" max="8" width="9.7109375" style="7" customWidth="1"/>
    <col min="9" max="19" width="14.5703125" style="7" customWidth="1"/>
    <col min="20" max="16384" width="9.140625" style="6"/>
  </cols>
  <sheetData>
    <row r="1" spans="1:19" ht="11.25" customHeight="1" x14ac:dyDescent="0.2">
      <c r="S1" s="8" t="s">
        <v>0</v>
      </c>
    </row>
    <row r="2" spans="1:19" ht="9.75" customHeight="1" x14ac:dyDescent="0.2">
      <c r="R2" s="8"/>
      <c r="S2" s="8" t="s">
        <v>46</v>
      </c>
    </row>
    <row r="3" spans="1:19" ht="9.75" customHeight="1" x14ac:dyDescent="0.2">
      <c r="R3" s="8"/>
      <c r="S3" s="8" t="s">
        <v>47</v>
      </c>
    </row>
    <row r="4" spans="1:19" ht="6.75" customHeight="1" x14ac:dyDescent="0.2"/>
    <row r="5" spans="1:19" s="2" customFormat="1" x14ac:dyDescent="0.2">
      <c r="H5" s="3" t="s">
        <v>48</v>
      </c>
      <c r="I5" s="4"/>
      <c r="J5" s="1" t="s">
        <v>49</v>
      </c>
      <c r="K5" s="1"/>
      <c r="L5" s="1"/>
      <c r="M5" s="1"/>
      <c r="N5" s="1"/>
      <c r="O5" s="1"/>
      <c r="P5" s="1"/>
      <c r="Q5" s="1"/>
      <c r="R5" s="1"/>
      <c r="S5" s="5"/>
    </row>
    <row r="6" spans="1:19" ht="6" customHeight="1" x14ac:dyDescent="0.2"/>
    <row r="7" spans="1:19" ht="18.75" x14ac:dyDescent="0.3">
      <c r="A7" s="9" t="s">
        <v>50</v>
      </c>
      <c r="B7" s="9"/>
      <c r="C7" s="9"/>
      <c r="D7" s="71"/>
      <c r="E7" s="70" t="s">
        <v>694</v>
      </c>
      <c r="F7" s="10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  <row r="8" spans="1:19" ht="13.5" customHeight="1" x14ac:dyDescent="0.2">
      <c r="A8" s="9"/>
      <c r="B8" s="9"/>
      <c r="C8" s="9"/>
      <c r="D8" s="69" t="s">
        <v>681</v>
      </c>
      <c r="E8" s="67"/>
      <c r="F8" s="67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spans="1:19" ht="16.5" customHeight="1" x14ac:dyDescent="0.2">
      <c r="A9" s="9" t="s">
        <v>666</v>
      </c>
      <c r="B9" s="9"/>
      <c r="D9" s="8"/>
      <c r="E9" s="68" t="s">
        <v>686</v>
      </c>
      <c r="F9" s="68"/>
      <c r="G9" s="72"/>
      <c r="H9" s="72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  <row r="10" spans="1:19" ht="15" customHeight="1" x14ac:dyDescent="0.2">
      <c r="A10" s="9"/>
      <c r="B10" s="9"/>
      <c r="D10" s="9"/>
      <c r="E10" s="8" t="s">
        <v>351</v>
      </c>
      <c r="F10" s="88" t="s">
        <v>687</v>
      </c>
      <c r="G10" s="9" t="s">
        <v>352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</row>
    <row r="11" spans="1:19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x14ac:dyDescent="0.2">
      <c r="A12" s="9" t="s">
        <v>51</v>
      </c>
      <c r="B12" s="9"/>
      <c r="C12" s="9"/>
      <c r="D12" s="9"/>
      <c r="E12" s="9"/>
      <c r="F12" s="9"/>
      <c r="G12" s="9"/>
      <c r="H12" s="9"/>
      <c r="I12" s="11"/>
      <c r="J12" s="11"/>
      <c r="K12" s="11"/>
      <c r="L12" s="9"/>
      <c r="M12" s="11"/>
      <c r="N12" s="9"/>
      <c r="O12" s="11"/>
      <c r="P12" s="9"/>
      <c r="Q12" s="11"/>
      <c r="R12" s="9"/>
      <c r="S12" s="9"/>
    </row>
    <row r="13" spans="1:19" x14ac:dyDescent="0.2">
      <c r="A13" s="9" t="s">
        <v>353</v>
      </c>
      <c r="B13" s="187" t="s">
        <v>480</v>
      </c>
      <c r="C13" s="187"/>
      <c r="D13" s="187"/>
      <c r="E13" s="187"/>
      <c r="F13" s="187"/>
      <c r="G13" s="12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</row>
    <row r="14" spans="1:19" ht="12.75" customHeight="1" x14ac:dyDescent="0.2">
      <c r="B14" s="69" t="s">
        <v>52</v>
      </c>
      <c r="C14" s="69"/>
      <c r="D14" s="69"/>
      <c r="E14" s="69"/>
      <c r="F14" s="69"/>
      <c r="G14" s="13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s="15" customFormat="1" ht="24" customHeight="1" thickBot="1" x14ac:dyDescent="0.25">
      <c r="A15" s="73" t="s">
        <v>350</v>
      </c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</row>
    <row r="16" spans="1:19" s="2" customFormat="1" ht="28.5" customHeight="1" x14ac:dyDescent="0.2">
      <c r="A16" s="105" t="s">
        <v>4</v>
      </c>
      <c r="B16" s="101"/>
      <c r="C16" s="99" t="s">
        <v>5</v>
      </c>
      <c r="D16" s="100"/>
      <c r="E16" s="100"/>
      <c r="F16" s="100"/>
      <c r="G16" s="101"/>
      <c r="H16" s="95" t="s">
        <v>1</v>
      </c>
      <c r="I16" s="77" t="s">
        <v>692</v>
      </c>
      <c r="J16" s="78" t="s">
        <v>693</v>
      </c>
      <c r="K16" s="78" t="s">
        <v>691</v>
      </c>
      <c r="L16" s="97" t="s">
        <v>688</v>
      </c>
      <c r="M16" s="98"/>
      <c r="N16" s="97" t="s">
        <v>689</v>
      </c>
      <c r="O16" s="98"/>
      <c r="P16" s="97" t="s">
        <v>690</v>
      </c>
      <c r="Q16" s="98"/>
      <c r="R16" s="89" t="s">
        <v>6</v>
      </c>
      <c r="S16" s="90"/>
    </row>
    <row r="17" spans="1:22" s="2" customFormat="1" ht="47.25" customHeight="1" x14ac:dyDescent="0.2">
      <c r="A17" s="106"/>
      <c r="B17" s="104"/>
      <c r="C17" s="102"/>
      <c r="D17" s="103"/>
      <c r="E17" s="103"/>
      <c r="F17" s="103"/>
      <c r="G17" s="104"/>
      <c r="H17" s="96"/>
      <c r="I17" s="16" t="s">
        <v>2</v>
      </c>
      <c r="J17" s="17" t="s">
        <v>695</v>
      </c>
      <c r="K17" s="17" t="s">
        <v>695</v>
      </c>
      <c r="L17" s="17" t="s">
        <v>705</v>
      </c>
      <c r="M17" s="17" t="s">
        <v>7</v>
      </c>
      <c r="N17" s="17" t="s">
        <v>705</v>
      </c>
      <c r="O17" s="17" t="s">
        <v>7</v>
      </c>
      <c r="P17" s="17" t="s">
        <v>705</v>
      </c>
      <c r="Q17" s="17" t="s">
        <v>7</v>
      </c>
      <c r="R17" s="17" t="s">
        <v>705</v>
      </c>
      <c r="S17" s="18" t="s">
        <v>7</v>
      </c>
    </row>
    <row r="18" spans="1:22" s="23" customFormat="1" ht="12.75" thickBot="1" x14ac:dyDescent="0.25">
      <c r="A18" s="94">
        <v>1</v>
      </c>
      <c r="B18" s="93"/>
      <c r="C18" s="91">
        <v>2</v>
      </c>
      <c r="D18" s="92"/>
      <c r="E18" s="92"/>
      <c r="F18" s="92"/>
      <c r="G18" s="93"/>
      <c r="H18" s="79">
        <v>3</v>
      </c>
      <c r="I18" s="80">
        <v>4</v>
      </c>
      <c r="J18" s="81">
        <v>5</v>
      </c>
      <c r="K18" s="81">
        <v>6</v>
      </c>
      <c r="L18" s="81">
        <v>7</v>
      </c>
      <c r="M18" s="81">
        <v>8</v>
      </c>
      <c r="N18" s="81">
        <v>9</v>
      </c>
      <c r="O18" s="81">
        <v>10</v>
      </c>
      <c r="P18" s="81">
        <v>11</v>
      </c>
      <c r="Q18" s="81">
        <v>12</v>
      </c>
      <c r="R18" s="81">
        <v>13</v>
      </c>
      <c r="S18" s="79">
        <v>14</v>
      </c>
    </row>
    <row r="19" spans="1:22" s="23" customFormat="1" ht="18.75" customHeight="1" thickBot="1" x14ac:dyDescent="0.3">
      <c r="A19" s="74" t="s">
        <v>45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6"/>
    </row>
    <row r="20" spans="1:22" s="15" customFormat="1" ht="24" customHeight="1" x14ac:dyDescent="0.2">
      <c r="A20" s="183" t="s">
        <v>22</v>
      </c>
      <c r="B20" s="184"/>
      <c r="C20" s="177" t="s">
        <v>42</v>
      </c>
      <c r="D20" s="178"/>
      <c r="E20" s="178"/>
      <c r="F20" s="178"/>
      <c r="G20" s="179"/>
      <c r="H20" s="24" t="s">
        <v>3</v>
      </c>
      <c r="I20" s="25">
        <f>I21+I25+I26+I27+I28+I29+I30+I31+I34</f>
        <v>4452.0307444237296</v>
      </c>
      <c r="J20" s="26">
        <f t="shared" ref="J20" si="0">J21+J25+J26+J27+J28+J29+J30+J31+J34</f>
        <v>4855.4709820329062</v>
      </c>
      <c r="K20" s="26">
        <f>K21+K25+K26+K27+K28+K29+K30+K31+K34</f>
        <v>4965.6728251895456</v>
      </c>
      <c r="L20" s="26" t="s">
        <v>480</v>
      </c>
      <c r="M20" s="26">
        <f>M21+M25+M26+M27+M28+M29+M30+M31+M34</f>
        <v>5334.5402948906431</v>
      </c>
      <c r="N20" s="26" t="s">
        <v>480</v>
      </c>
      <c r="O20" s="26">
        <f>O21+O25+O26+O27+O28+O29+O30+O31+O34</f>
        <v>5548.3375020647081</v>
      </c>
      <c r="P20" s="26" t="s">
        <v>480</v>
      </c>
      <c r="Q20" s="26">
        <f>Q21+Q25+Q26+Q27+Q28+Q29+Q30+Q31+Q34</f>
        <v>5970.4875089727348</v>
      </c>
      <c r="R20" s="27" t="s">
        <v>480</v>
      </c>
      <c r="S20" s="28">
        <f t="shared" ref="S20:S83" si="1">M20+O20+Q20</f>
        <v>16853.365305928088</v>
      </c>
      <c r="V20" s="191"/>
    </row>
    <row r="21" spans="1:22" s="15" customFormat="1" ht="24" customHeight="1" x14ac:dyDescent="0.2">
      <c r="A21" s="110" t="s">
        <v>8</v>
      </c>
      <c r="B21" s="111"/>
      <c r="C21" s="112" t="s">
        <v>43</v>
      </c>
      <c r="D21" s="113"/>
      <c r="E21" s="113"/>
      <c r="F21" s="113"/>
      <c r="G21" s="114"/>
      <c r="H21" s="29" t="s">
        <v>3</v>
      </c>
      <c r="I21" s="30">
        <f>I22+I23+I24</f>
        <v>0</v>
      </c>
      <c r="J21" s="31">
        <f t="shared" ref="J21:K21" si="2">J22+J23+J24</f>
        <v>0</v>
      </c>
      <c r="K21" s="31">
        <f t="shared" si="2"/>
        <v>0</v>
      </c>
      <c r="L21" s="31" t="s">
        <v>480</v>
      </c>
      <c r="M21" s="31">
        <f t="shared" ref="M21" si="3">M22+M23+M24</f>
        <v>0</v>
      </c>
      <c r="N21" s="31" t="s">
        <v>480</v>
      </c>
      <c r="O21" s="31">
        <f t="shared" ref="O21" si="4">O22+O23+O24</f>
        <v>0</v>
      </c>
      <c r="P21" s="31" t="s">
        <v>480</v>
      </c>
      <c r="Q21" s="31">
        <f t="shared" ref="Q21" si="5">Q22+Q23+Q24</f>
        <v>0</v>
      </c>
      <c r="R21" s="32" t="s">
        <v>480</v>
      </c>
      <c r="S21" s="33">
        <f t="shared" si="1"/>
        <v>0</v>
      </c>
    </row>
    <row r="22" spans="1:22" s="15" customFormat="1" ht="24" customHeight="1" x14ac:dyDescent="0.2">
      <c r="A22" s="110" t="s">
        <v>9</v>
      </c>
      <c r="B22" s="111"/>
      <c r="C22" s="112" t="s">
        <v>44</v>
      </c>
      <c r="D22" s="113"/>
      <c r="E22" s="113"/>
      <c r="F22" s="113"/>
      <c r="G22" s="114"/>
      <c r="H22" s="29" t="s">
        <v>3</v>
      </c>
      <c r="I22" s="30">
        <v>0</v>
      </c>
      <c r="J22" s="31">
        <v>0</v>
      </c>
      <c r="K22" s="31">
        <v>0</v>
      </c>
      <c r="L22" s="31" t="s">
        <v>480</v>
      </c>
      <c r="M22" s="31">
        <v>0</v>
      </c>
      <c r="N22" s="31" t="s">
        <v>480</v>
      </c>
      <c r="O22" s="31">
        <v>0</v>
      </c>
      <c r="P22" s="31" t="s">
        <v>480</v>
      </c>
      <c r="Q22" s="31">
        <v>0</v>
      </c>
      <c r="R22" s="32" t="s">
        <v>480</v>
      </c>
      <c r="S22" s="33">
        <f t="shared" si="1"/>
        <v>0</v>
      </c>
    </row>
    <row r="23" spans="1:22" s="15" customFormat="1" ht="24" customHeight="1" x14ac:dyDescent="0.2">
      <c r="A23" s="110" t="s">
        <v>10</v>
      </c>
      <c r="B23" s="111"/>
      <c r="C23" s="112" t="s">
        <v>53</v>
      </c>
      <c r="D23" s="113"/>
      <c r="E23" s="113"/>
      <c r="F23" s="113"/>
      <c r="G23" s="114"/>
      <c r="H23" s="29" t="s">
        <v>3</v>
      </c>
      <c r="I23" s="30">
        <v>0</v>
      </c>
      <c r="J23" s="31">
        <v>0</v>
      </c>
      <c r="K23" s="31">
        <v>0</v>
      </c>
      <c r="L23" s="31" t="s">
        <v>480</v>
      </c>
      <c r="M23" s="31">
        <v>0</v>
      </c>
      <c r="N23" s="31" t="s">
        <v>480</v>
      </c>
      <c r="O23" s="31">
        <v>0</v>
      </c>
      <c r="P23" s="31" t="s">
        <v>480</v>
      </c>
      <c r="Q23" s="31">
        <v>0</v>
      </c>
      <c r="R23" s="32" t="s">
        <v>480</v>
      </c>
      <c r="S23" s="33">
        <f t="shared" si="1"/>
        <v>0</v>
      </c>
    </row>
    <row r="24" spans="1:22" s="15" customFormat="1" ht="37.5" customHeight="1" x14ac:dyDescent="0.2">
      <c r="A24" s="110" t="s">
        <v>11</v>
      </c>
      <c r="B24" s="111"/>
      <c r="C24" s="112" t="s">
        <v>54</v>
      </c>
      <c r="D24" s="113"/>
      <c r="E24" s="113"/>
      <c r="F24" s="113"/>
      <c r="G24" s="114"/>
      <c r="H24" s="29" t="s">
        <v>3</v>
      </c>
      <c r="I24" s="30">
        <v>0</v>
      </c>
      <c r="J24" s="31">
        <v>0</v>
      </c>
      <c r="K24" s="31">
        <v>0</v>
      </c>
      <c r="L24" s="31" t="s">
        <v>480</v>
      </c>
      <c r="M24" s="31">
        <v>0</v>
      </c>
      <c r="N24" s="31" t="s">
        <v>480</v>
      </c>
      <c r="O24" s="31">
        <v>0</v>
      </c>
      <c r="P24" s="31" t="s">
        <v>480</v>
      </c>
      <c r="Q24" s="31">
        <v>0</v>
      </c>
      <c r="R24" s="32" t="s">
        <v>480</v>
      </c>
      <c r="S24" s="33">
        <f t="shared" si="1"/>
        <v>0</v>
      </c>
    </row>
    <row r="25" spans="1:22" s="15" customFormat="1" ht="18.75" customHeight="1" x14ac:dyDescent="0.2">
      <c r="A25" s="110" t="s">
        <v>12</v>
      </c>
      <c r="B25" s="111"/>
      <c r="C25" s="112" t="s">
        <v>55</v>
      </c>
      <c r="D25" s="113"/>
      <c r="E25" s="113"/>
      <c r="F25" s="113"/>
      <c r="G25" s="114"/>
      <c r="H25" s="29" t="s">
        <v>3</v>
      </c>
      <c r="I25" s="30">
        <v>0</v>
      </c>
      <c r="J25" s="31">
        <v>0</v>
      </c>
      <c r="K25" s="31">
        <v>0</v>
      </c>
      <c r="L25" s="31" t="s">
        <v>480</v>
      </c>
      <c r="M25" s="31">
        <v>0</v>
      </c>
      <c r="N25" s="31" t="s">
        <v>480</v>
      </c>
      <c r="O25" s="31">
        <v>0</v>
      </c>
      <c r="P25" s="31" t="s">
        <v>480</v>
      </c>
      <c r="Q25" s="31">
        <v>0</v>
      </c>
      <c r="R25" s="32" t="s">
        <v>480</v>
      </c>
      <c r="S25" s="33">
        <f t="shared" si="1"/>
        <v>0</v>
      </c>
    </row>
    <row r="26" spans="1:22" s="15" customFormat="1" ht="18.75" customHeight="1" x14ac:dyDescent="0.2">
      <c r="A26" s="110" t="s">
        <v>13</v>
      </c>
      <c r="B26" s="111"/>
      <c r="C26" s="112" t="s">
        <v>77</v>
      </c>
      <c r="D26" s="113"/>
      <c r="E26" s="113"/>
      <c r="F26" s="113"/>
      <c r="G26" s="114"/>
      <c r="H26" s="29" t="s">
        <v>3</v>
      </c>
      <c r="I26" s="30">
        <v>0</v>
      </c>
      <c r="J26" s="31">
        <v>0</v>
      </c>
      <c r="K26" s="31">
        <v>0</v>
      </c>
      <c r="L26" s="31" t="s">
        <v>480</v>
      </c>
      <c r="M26" s="31">
        <v>0</v>
      </c>
      <c r="N26" s="31" t="s">
        <v>480</v>
      </c>
      <c r="O26" s="31">
        <v>0</v>
      </c>
      <c r="P26" s="31" t="s">
        <v>480</v>
      </c>
      <c r="Q26" s="31">
        <v>0</v>
      </c>
      <c r="R26" s="32" t="s">
        <v>480</v>
      </c>
      <c r="S26" s="33">
        <f t="shared" si="1"/>
        <v>0</v>
      </c>
    </row>
    <row r="27" spans="1:22" s="15" customFormat="1" ht="25.5" customHeight="1" x14ac:dyDescent="0.2">
      <c r="A27" s="110" t="s">
        <v>14</v>
      </c>
      <c r="B27" s="111"/>
      <c r="C27" s="112" t="s">
        <v>78</v>
      </c>
      <c r="D27" s="113"/>
      <c r="E27" s="113"/>
      <c r="F27" s="113"/>
      <c r="G27" s="114"/>
      <c r="H27" s="29" t="s">
        <v>3</v>
      </c>
      <c r="I27" s="30">
        <v>0</v>
      </c>
      <c r="J27" s="31">
        <v>0</v>
      </c>
      <c r="K27" s="31">
        <v>0</v>
      </c>
      <c r="L27" s="31" t="s">
        <v>480</v>
      </c>
      <c r="M27" s="31">
        <v>0</v>
      </c>
      <c r="N27" s="31" t="s">
        <v>480</v>
      </c>
      <c r="O27" s="31">
        <v>0</v>
      </c>
      <c r="P27" s="31" t="s">
        <v>480</v>
      </c>
      <c r="Q27" s="31">
        <v>0</v>
      </c>
      <c r="R27" s="32" t="s">
        <v>480</v>
      </c>
      <c r="S27" s="33">
        <f t="shared" si="1"/>
        <v>0</v>
      </c>
    </row>
    <row r="28" spans="1:22" s="15" customFormat="1" ht="18.75" customHeight="1" x14ac:dyDescent="0.2">
      <c r="A28" s="110" t="s">
        <v>15</v>
      </c>
      <c r="B28" s="111"/>
      <c r="C28" s="112" t="s">
        <v>79</v>
      </c>
      <c r="D28" s="113"/>
      <c r="E28" s="113"/>
      <c r="F28" s="113"/>
      <c r="G28" s="114"/>
      <c r="H28" s="29" t="s">
        <v>3</v>
      </c>
      <c r="I28" s="30">
        <v>0</v>
      </c>
      <c r="J28" s="31">
        <v>0</v>
      </c>
      <c r="K28" s="31">
        <v>0</v>
      </c>
      <c r="L28" s="31" t="s">
        <v>480</v>
      </c>
      <c r="M28" s="31">
        <v>0</v>
      </c>
      <c r="N28" s="31" t="s">
        <v>480</v>
      </c>
      <c r="O28" s="31">
        <v>0</v>
      </c>
      <c r="P28" s="31" t="s">
        <v>480</v>
      </c>
      <c r="Q28" s="31">
        <v>0</v>
      </c>
      <c r="R28" s="32" t="s">
        <v>480</v>
      </c>
      <c r="S28" s="33">
        <f t="shared" si="1"/>
        <v>0</v>
      </c>
    </row>
    <row r="29" spans="1:22" s="15" customFormat="1" ht="18.75" customHeight="1" x14ac:dyDescent="0.2">
      <c r="A29" s="110" t="s">
        <v>16</v>
      </c>
      <c r="B29" s="111"/>
      <c r="C29" s="112" t="s">
        <v>80</v>
      </c>
      <c r="D29" s="113"/>
      <c r="E29" s="113"/>
      <c r="F29" s="113"/>
      <c r="G29" s="114"/>
      <c r="H29" s="29" t="s">
        <v>3</v>
      </c>
      <c r="I29" s="30">
        <v>4449.1345120508486</v>
      </c>
      <c r="J29" s="31">
        <v>4852.3697406333304</v>
      </c>
      <c r="K29" s="31">
        <f>[1]КБЭ!$BD$21/1000</f>
        <v>4961.9123737695327</v>
      </c>
      <c r="L29" s="31" t="s">
        <v>480</v>
      </c>
      <c r="M29" s="31">
        <f>('[2]ФЭМ сравнение с БП'!$G$13)/1000</f>
        <v>5330.7576944117664</v>
      </c>
      <c r="N29" s="31" t="s">
        <v>480</v>
      </c>
      <c r="O29" s="31">
        <f>('[2]ФЭМ сравнение с БП'!$H$13)/1000</f>
        <v>5544.5216147016181</v>
      </c>
      <c r="P29" s="31" t="s">
        <v>480</v>
      </c>
      <c r="Q29" s="31">
        <f>('[2]ФЭМ сравнение с БП'!$I$13)/1000</f>
        <v>5966.6380418008494</v>
      </c>
      <c r="R29" s="32" t="s">
        <v>480</v>
      </c>
      <c r="S29" s="33">
        <f t="shared" si="1"/>
        <v>16841.917350914235</v>
      </c>
    </row>
    <row r="30" spans="1:22" s="15" customFormat="1" ht="18.75" customHeight="1" x14ac:dyDescent="0.2">
      <c r="A30" s="110" t="s">
        <v>17</v>
      </c>
      <c r="B30" s="111"/>
      <c r="C30" s="112" t="s">
        <v>81</v>
      </c>
      <c r="D30" s="113"/>
      <c r="E30" s="113"/>
      <c r="F30" s="113"/>
      <c r="G30" s="114"/>
      <c r="H30" s="29" t="s">
        <v>3</v>
      </c>
      <c r="I30" s="30">
        <v>0</v>
      </c>
      <c r="J30" s="31">
        <v>0</v>
      </c>
      <c r="K30" s="31">
        <v>0</v>
      </c>
      <c r="L30" s="31" t="s">
        <v>480</v>
      </c>
      <c r="M30" s="31">
        <v>0</v>
      </c>
      <c r="N30" s="31" t="s">
        <v>480</v>
      </c>
      <c r="O30" s="31">
        <v>0</v>
      </c>
      <c r="P30" s="31" t="s">
        <v>480</v>
      </c>
      <c r="Q30" s="31">
        <v>0</v>
      </c>
      <c r="R30" s="32" t="s">
        <v>480</v>
      </c>
      <c r="S30" s="33">
        <f t="shared" si="1"/>
        <v>0</v>
      </c>
    </row>
    <row r="31" spans="1:22" s="15" customFormat="1" ht="25.5" customHeight="1" x14ac:dyDescent="0.2">
      <c r="A31" s="110" t="s">
        <v>18</v>
      </c>
      <c r="B31" s="111"/>
      <c r="C31" s="112" t="s">
        <v>82</v>
      </c>
      <c r="D31" s="113"/>
      <c r="E31" s="113"/>
      <c r="F31" s="113"/>
      <c r="G31" s="114"/>
      <c r="H31" s="29" t="s">
        <v>3</v>
      </c>
      <c r="I31" s="30">
        <v>0</v>
      </c>
      <c r="J31" s="31">
        <v>0</v>
      </c>
      <c r="K31" s="31">
        <v>0</v>
      </c>
      <c r="L31" s="31" t="s">
        <v>480</v>
      </c>
      <c r="M31" s="31">
        <v>0</v>
      </c>
      <c r="N31" s="31" t="s">
        <v>480</v>
      </c>
      <c r="O31" s="31">
        <v>0</v>
      </c>
      <c r="P31" s="31" t="s">
        <v>480</v>
      </c>
      <c r="Q31" s="31">
        <v>0</v>
      </c>
      <c r="R31" s="32" t="s">
        <v>480</v>
      </c>
      <c r="S31" s="33">
        <f t="shared" si="1"/>
        <v>0</v>
      </c>
    </row>
    <row r="32" spans="1:22" s="15" customFormat="1" ht="18.75" customHeight="1" x14ac:dyDescent="0.2">
      <c r="A32" s="110" t="s">
        <v>19</v>
      </c>
      <c r="B32" s="111"/>
      <c r="C32" s="115" t="s">
        <v>83</v>
      </c>
      <c r="D32" s="116"/>
      <c r="E32" s="116"/>
      <c r="F32" s="116"/>
      <c r="G32" s="117"/>
      <c r="H32" s="29" t="s">
        <v>3</v>
      </c>
      <c r="I32" s="30">
        <v>0</v>
      </c>
      <c r="J32" s="31">
        <v>0</v>
      </c>
      <c r="K32" s="31">
        <v>0</v>
      </c>
      <c r="L32" s="31" t="s">
        <v>480</v>
      </c>
      <c r="M32" s="31">
        <v>0</v>
      </c>
      <c r="N32" s="31" t="s">
        <v>480</v>
      </c>
      <c r="O32" s="31">
        <v>0</v>
      </c>
      <c r="P32" s="31" t="s">
        <v>480</v>
      </c>
      <c r="Q32" s="31">
        <v>0</v>
      </c>
      <c r="R32" s="32" t="s">
        <v>480</v>
      </c>
      <c r="S32" s="33">
        <f t="shared" si="1"/>
        <v>0</v>
      </c>
    </row>
    <row r="33" spans="1:19" s="15" customFormat="1" ht="18.75" customHeight="1" x14ac:dyDescent="0.2">
      <c r="A33" s="110" t="s">
        <v>20</v>
      </c>
      <c r="B33" s="111"/>
      <c r="C33" s="115" t="s">
        <v>84</v>
      </c>
      <c r="D33" s="116"/>
      <c r="E33" s="116"/>
      <c r="F33" s="116"/>
      <c r="G33" s="117"/>
      <c r="H33" s="29" t="s">
        <v>3</v>
      </c>
      <c r="I33" s="30">
        <v>0</v>
      </c>
      <c r="J33" s="31">
        <v>0</v>
      </c>
      <c r="K33" s="31">
        <v>0</v>
      </c>
      <c r="L33" s="31" t="s">
        <v>480</v>
      </c>
      <c r="M33" s="31">
        <v>0</v>
      </c>
      <c r="N33" s="31" t="s">
        <v>480</v>
      </c>
      <c r="O33" s="31">
        <v>0</v>
      </c>
      <c r="P33" s="31" t="s">
        <v>480</v>
      </c>
      <c r="Q33" s="31">
        <v>0</v>
      </c>
      <c r="R33" s="32" t="s">
        <v>480</v>
      </c>
      <c r="S33" s="33">
        <f t="shared" si="1"/>
        <v>0</v>
      </c>
    </row>
    <row r="34" spans="1:19" s="15" customFormat="1" ht="18.75" customHeight="1" x14ac:dyDescent="0.2">
      <c r="A34" s="110" t="s">
        <v>21</v>
      </c>
      <c r="B34" s="111"/>
      <c r="C34" s="112" t="s">
        <v>85</v>
      </c>
      <c r="D34" s="113"/>
      <c r="E34" s="113"/>
      <c r="F34" s="113"/>
      <c r="G34" s="114"/>
      <c r="H34" s="29" t="s">
        <v>3</v>
      </c>
      <c r="I34" s="30">
        <v>2.8962323728813599</v>
      </c>
      <c r="J34" s="31">
        <v>3.1012413995762698</v>
      </c>
      <c r="K34" s="31">
        <f>[1]КБЭ!$BD$22/1000</f>
        <v>3.7604514200124997</v>
      </c>
      <c r="L34" s="31" t="s">
        <v>480</v>
      </c>
      <c r="M34" s="31">
        <f>[1]КБЭ!$CB$22/1000</f>
        <v>3.7826004788763732</v>
      </c>
      <c r="N34" s="31" t="s">
        <v>480</v>
      </c>
      <c r="O34" s="31">
        <f>[1]КБЭ!$CF$22/1000</f>
        <v>3.8158873630904848</v>
      </c>
      <c r="P34" s="31" t="s">
        <v>480</v>
      </c>
      <c r="Q34" s="31">
        <f>[1]КБЭ!$CJ$22/1000</f>
        <v>3.849467171885681</v>
      </c>
      <c r="R34" s="32" t="s">
        <v>480</v>
      </c>
      <c r="S34" s="33">
        <f t="shared" si="1"/>
        <v>11.447955013852539</v>
      </c>
    </row>
    <row r="35" spans="1:19" s="15" customFormat="1" ht="25.5" customHeight="1" x14ac:dyDescent="0.2">
      <c r="A35" s="185" t="s">
        <v>23</v>
      </c>
      <c r="B35" s="186"/>
      <c r="C35" s="188" t="s">
        <v>86</v>
      </c>
      <c r="D35" s="189"/>
      <c r="E35" s="189"/>
      <c r="F35" s="189"/>
      <c r="G35" s="190"/>
      <c r="H35" s="82" t="s">
        <v>3</v>
      </c>
      <c r="I35" s="83">
        <f>I36+I40+I41+I42+I43+I44+I45+I46+I49+I50+I59+I65+I66+I67+I70</f>
        <v>4582.7073113500001</v>
      </c>
      <c r="J35" s="84">
        <f t="shared" ref="J35" si="6">J36+J40+J41+J42+J43+J44+J45+J46+J49+J50+J59+J65+J66+J67+J70</f>
        <v>4805.5709732299983</v>
      </c>
      <c r="K35" s="84">
        <f>K36+K40+K41+K42+K43+K44+K45+K46+K49+K50+K59+K65+K66+K67+K70</f>
        <v>4947.022277936233</v>
      </c>
      <c r="L35" s="84" t="s">
        <v>480</v>
      </c>
      <c r="M35" s="84">
        <f>M36+M40+M41+M42+M43+M44+M45+M46+M49+M50+M59+M65+M66+M67+M70</f>
        <v>5166.4895702097992</v>
      </c>
      <c r="N35" s="84" t="s">
        <v>480</v>
      </c>
      <c r="O35" s="84">
        <f>O36+O40+O41+O42+O43+O44+O45+O46+O49+O50+O59+O65+O66+O67+O70</f>
        <v>5426.3537554313134</v>
      </c>
      <c r="P35" s="84" t="s">
        <v>480</v>
      </c>
      <c r="Q35" s="84">
        <f>Q36+Q40+Q41+Q42+Q43+Q44+Q45+Q46+Q49+Q50+Q59+Q65+Q66+Q67+Q70</f>
        <v>5891.2044909070801</v>
      </c>
      <c r="R35" s="85" t="s">
        <v>480</v>
      </c>
      <c r="S35" s="86">
        <f t="shared" si="1"/>
        <v>16484.047816548191</v>
      </c>
    </row>
    <row r="36" spans="1:19" s="15" customFormat="1" ht="25.5" customHeight="1" x14ac:dyDescent="0.2">
      <c r="A36" s="110" t="s">
        <v>25</v>
      </c>
      <c r="B36" s="111"/>
      <c r="C36" s="112" t="s">
        <v>43</v>
      </c>
      <c r="D36" s="113"/>
      <c r="E36" s="113"/>
      <c r="F36" s="113"/>
      <c r="G36" s="114"/>
      <c r="H36" s="29" t="s">
        <v>3</v>
      </c>
      <c r="I36" s="30">
        <f>SUM(I37:I39)</f>
        <v>0</v>
      </c>
      <c r="J36" s="31">
        <f t="shared" ref="J36" si="7">SUM(J37:J39)</f>
        <v>0</v>
      </c>
      <c r="K36" s="31">
        <f>SUM(K37:K39)</f>
        <v>0</v>
      </c>
      <c r="L36" s="31" t="s">
        <v>480</v>
      </c>
      <c r="M36" s="31">
        <f>SUM(M37:M39)</f>
        <v>0</v>
      </c>
      <c r="N36" s="31" t="s">
        <v>480</v>
      </c>
      <c r="O36" s="31">
        <f>SUM(O37:O39)</f>
        <v>0</v>
      </c>
      <c r="P36" s="31" t="s">
        <v>480</v>
      </c>
      <c r="Q36" s="31">
        <f>SUM(Q37:Q39)</f>
        <v>0</v>
      </c>
      <c r="R36" s="32" t="s">
        <v>480</v>
      </c>
      <c r="S36" s="33">
        <f t="shared" si="1"/>
        <v>0</v>
      </c>
    </row>
    <row r="37" spans="1:19" s="15" customFormat="1" ht="25.5" customHeight="1" x14ac:dyDescent="0.2">
      <c r="A37" s="110" t="s">
        <v>24</v>
      </c>
      <c r="B37" s="111"/>
      <c r="C37" s="115" t="s">
        <v>44</v>
      </c>
      <c r="D37" s="116"/>
      <c r="E37" s="116"/>
      <c r="F37" s="116"/>
      <c r="G37" s="117"/>
      <c r="H37" s="29" t="s">
        <v>3</v>
      </c>
      <c r="I37" s="30">
        <v>0</v>
      </c>
      <c r="J37" s="31">
        <v>0</v>
      </c>
      <c r="K37" s="31">
        <v>0</v>
      </c>
      <c r="L37" s="31" t="s">
        <v>480</v>
      </c>
      <c r="M37" s="31">
        <v>0</v>
      </c>
      <c r="N37" s="31" t="s">
        <v>480</v>
      </c>
      <c r="O37" s="31">
        <v>0</v>
      </c>
      <c r="P37" s="31" t="s">
        <v>480</v>
      </c>
      <c r="Q37" s="31">
        <v>0</v>
      </c>
      <c r="R37" s="32" t="s">
        <v>480</v>
      </c>
      <c r="S37" s="33">
        <f t="shared" si="1"/>
        <v>0</v>
      </c>
    </row>
    <row r="38" spans="1:19" s="15" customFormat="1" ht="25.5" customHeight="1" x14ac:dyDescent="0.2">
      <c r="A38" s="110" t="s">
        <v>26</v>
      </c>
      <c r="B38" s="111"/>
      <c r="C38" s="115" t="s">
        <v>53</v>
      </c>
      <c r="D38" s="116"/>
      <c r="E38" s="116"/>
      <c r="F38" s="116"/>
      <c r="G38" s="117"/>
      <c r="H38" s="29" t="s">
        <v>3</v>
      </c>
      <c r="I38" s="30">
        <v>0</v>
      </c>
      <c r="J38" s="31">
        <v>0</v>
      </c>
      <c r="K38" s="31">
        <v>0</v>
      </c>
      <c r="L38" s="31" t="s">
        <v>480</v>
      </c>
      <c r="M38" s="31">
        <v>0</v>
      </c>
      <c r="N38" s="31" t="s">
        <v>480</v>
      </c>
      <c r="O38" s="31">
        <v>0</v>
      </c>
      <c r="P38" s="31" t="s">
        <v>480</v>
      </c>
      <c r="Q38" s="31">
        <v>0</v>
      </c>
      <c r="R38" s="32" t="s">
        <v>480</v>
      </c>
      <c r="S38" s="33">
        <f t="shared" si="1"/>
        <v>0</v>
      </c>
    </row>
    <row r="39" spans="1:19" s="15" customFormat="1" ht="25.5" customHeight="1" x14ac:dyDescent="0.2">
      <c r="A39" s="110" t="s">
        <v>27</v>
      </c>
      <c r="B39" s="111"/>
      <c r="C39" s="115" t="s">
        <v>54</v>
      </c>
      <c r="D39" s="116"/>
      <c r="E39" s="116"/>
      <c r="F39" s="116"/>
      <c r="G39" s="117"/>
      <c r="H39" s="29" t="s">
        <v>3</v>
      </c>
      <c r="I39" s="30">
        <v>0</v>
      </c>
      <c r="J39" s="31">
        <v>0</v>
      </c>
      <c r="K39" s="31">
        <v>0</v>
      </c>
      <c r="L39" s="31" t="s">
        <v>480</v>
      </c>
      <c r="M39" s="31">
        <v>0</v>
      </c>
      <c r="N39" s="31" t="s">
        <v>480</v>
      </c>
      <c r="O39" s="31">
        <v>0</v>
      </c>
      <c r="P39" s="31" t="s">
        <v>480</v>
      </c>
      <c r="Q39" s="31">
        <v>0</v>
      </c>
      <c r="R39" s="32" t="s">
        <v>480</v>
      </c>
      <c r="S39" s="33">
        <f t="shared" si="1"/>
        <v>0</v>
      </c>
    </row>
    <row r="40" spans="1:19" s="15" customFormat="1" ht="25.5" customHeight="1" x14ac:dyDescent="0.2">
      <c r="A40" s="110" t="s">
        <v>28</v>
      </c>
      <c r="B40" s="111"/>
      <c r="C40" s="112" t="s">
        <v>55</v>
      </c>
      <c r="D40" s="113"/>
      <c r="E40" s="113"/>
      <c r="F40" s="113"/>
      <c r="G40" s="114"/>
      <c r="H40" s="29" t="s">
        <v>3</v>
      </c>
      <c r="I40" s="30">
        <v>0</v>
      </c>
      <c r="J40" s="31">
        <v>0</v>
      </c>
      <c r="K40" s="31">
        <v>0</v>
      </c>
      <c r="L40" s="31" t="s">
        <v>480</v>
      </c>
      <c r="M40" s="31">
        <v>0</v>
      </c>
      <c r="N40" s="31" t="s">
        <v>480</v>
      </c>
      <c r="O40" s="31">
        <v>0</v>
      </c>
      <c r="P40" s="31" t="s">
        <v>480</v>
      </c>
      <c r="Q40" s="31">
        <v>0</v>
      </c>
      <c r="R40" s="32" t="s">
        <v>480</v>
      </c>
      <c r="S40" s="33">
        <f t="shared" si="1"/>
        <v>0</v>
      </c>
    </row>
    <row r="41" spans="1:19" s="15" customFormat="1" ht="25.5" customHeight="1" x14ac:dyDescent="0.2">
      <c r="A41" s="110" t="s">
        <v>29</v>
      </c>
      <c r="B41" s="111"/>
      <c r="C41" s="112" t="s">
        <v>77</v>
      </c>
      <c r="D41" s="113"/>
      <c r="E41" s="113"/>
      <c r="F41" s="113"/>
      <c r="G41" s="114"/>
      <c r="H41" s="29" t="s">
        <v>3</v>
      </c>
      <c r="I41" s="30">
        <v>0</v>
      </c>
      <c r="J41" s="31">
        <v>0</v>
      </c>
      <c r="K41" s="31"/>
      <c r="L41" s="31" t="s">
        <v>480</v>
      </c>
      <c r="M41" s="31"/>
      <c r="N41" s="31" t="s">
        <v>480</v>
      </c>
      <c r="O41" s="31"/>
      <c r="P41" s="31" t="s">
        <v>480</v>
      </c>
      <c r="Q41" s="31"/>
      <c r="R41" s="32" t="s">
        <v>480</v>
      </c>
      <c r="S41" s="33">
        <f t="shared" si="1"/>
        <v>0</v>
      </c>
    </row>
    <row r="42" spans="1:19" s="15" customFormat="1" ht="25.5" customHeight="1" x14ac:dyDescent="0.2">
      <c r="A42" s="110" t="s">
        <v>30</v>
      </c>
      <c r="B42" s="111"/>
      <c r="C42" s="112" t="s">
        <v>78</v>
      </c>
      <c r="D42" s="113"/>
      <c r="E42" s="113"/>
      <c r="F42" s="113"/>
      <c r="G42" s="114"/>
      <c r="H42" s="29" t="s">
        <v>3</v>
      </c>
      <c r="I42" s="30">
        <v>0</v>
      </c>
      <c r="J42" s="31">
        <v>0</v>
      </c>
      <c r="K42" s="31">
        <v>0</v>
      </c>
      <c r="L42" s="31" t="s">
        <v>480</v>
      </c>
      <c r="M42" s="31">
        <v>0</v>
      </c>
      <c r="N42" s="31" t="s">
        <v>480</v>
      </c>
      <c r="O42" s="31">
        <v>0</v>
      </c>
      <c r="P42" s="31" t="s">
        <v>480</v>
      </c>
      <c r="Q42" s="31">
        <v>0</v>
      </c>
      <c r="R42" s="32" t="s">
        <v>480</v>
      </c>
      <c r="S42" s="33">
        <f t="shared" si="1"/>
        <v>0</v>
      </c>
    </row>
    <row r="43" spans="1:19" s="15" customFormat="1" ht="25.5" customHeight="1" x14ac:dyDescent="0.2">
      <c r="A43" s="110" t="s">
        <v>31</v>
      </c>
      <c r="B43" s="111"/>
      <c r="C43" s="112" t="s">
        <v>79</v>
      </c>
      <c r="D43" s="113"/>
      <c r="E43" s="113"/>
      <c r="F43" s="113"/>
      <c r="G43" s="114"/>
      <c r="H43" s="29" t="s">
        <v>3</v>
      </c>
      <c r="I43" s="30">
        <v>0</v>
      </c>
      <c r="J43" s="31">
        <v>0</v>
      </c>
      <c r="K43" s="31">
        <v>0</v>
      </c>
      <c r="L43" s="31" t="s">
        <v>480</v>
      </c>
      <c r="M43" s="31">
        <v>0</v>
      </c>
      <c r="N43" s="31" t="s">
        <v>480</v>
      </c>
      <c r="O43" s="31">
        <v>0</v>
      </c>
      <c r="P43" s="31" t="s">
        <v>480</v>
      </c>
      <c r="Q43" s="31">
        <v>0</v>
      </c>
      <c r="R43" s="32" t="s">
        <v>480</v>
      </c>
      <c r="S43" s="33">
        <f t="shared" si="1"/>
        <v>0</v>
      </c>
    </row>
    <row r="44" spans="1:19" s="15" customFormat="1" ht="25.5" customHeight="1" x14ac:dyDescent="0.2">
      <c r="A44" s="110" t="s">
        <v>32</v>
      </c>
      <c r="B44" s="111"/>
      <c r="C44" s="112" t="s">
        <v>80</v>
      </c>
      <c r="D44" s="113"/>
      <c r="E44" s="113"/>
      <c r="F44" s="113"/>
      <c r="G44" s="114"/>
      <c r="H44" s="29" t="s">
        <v>3</v>
      </c>
      <c r="I44" s="30">
        <v>0</v>
      </c>
      <c r="J44" s="31">
        <v>0</v>
      </c>
      <c r="K44" s="31">
        <v>0</v>
      </c>
      <c r="L44" s="31" t="s">
        <v>480</v>
      </c>
      <c r="M44" s="31">
        <v>0</v>
      </c>
      <c r="N44" s="31" t="s">
        <v>480</v>
      </c>
      <c r="O44" s="31">
        <v>0</v>
      </c>
      <c r="P44" s="31" t="s">
        <v>480</v>
      </c>
      <c r="Q44" s="31">
        <v>0</v>
      </c>
      <c r="R44" s="32" t="s">
        <v>480</v>
      </c>
      <c r="S44" s="33">
        <f t="shared" si="1"/>
        <v>0</v>
      </c>
    </row>
    <row r="45" spans="1:19" s="15" customFormat="1" ht="25.5" customHeight="1" x14ac:dyDescent="0.2">
      <c r="A45" s="110" t="s">
        <v>33</v>
      </c>
      <c r="B45" s="111"/>
      <c r="C45" s="112" t="s">
        <v>81</v>
      </c>
      <c r="D45" s="113"/>
      <c r="E45" s="113"/>
      <c r="F45" s="113"/>
      <c r="G45" s="114"/>
      <c r="H45" s="29" t="s">
        <v>3</v>
      </c>
      <c r="I45" s="30">
        <v>0</v>
      </c>
      <c r="J45" s="31">
        <v>0</v>
      </c>
      <c r="K45" s="31">
        <v>0</v>
      </c>
      <c r="L45" s="31" t="s">
        <v>480</v>
      </c>
      <c r="M45" s="31">
        <v>0</v>
      </c>
      <c r="N45" s="31" t="s">
        <v>480</v>
      </c>
      <c r="O45" s="31">
        <v>0</v>
      </c>
      <c r="P45" s="31" t="s">
        <v>480</v>
      </c>
      <c r="Q45" s="31">
        <v>0</v>
      </c>
      <c r="R45" s="32" t="s">
        <v>480</v>
      </c>
      <c r="S45" s="33">
        <f t="shared" si="1"/>
        <v>0</v>
      </c>
    </row>
    <row r="46" spans="1:19" s="15" customFormat="1" ht="25.5" customHeight="1" x14ac:dyDescent="0.2">
      <c r="A46" s="110" t="s">
        <v>34</v>
      </c>
      <c r="B46" s="111"/>
      <c r="C46" s="112" t="s">
        <v>82</v>
      </c>
      <c r="D46" s="113"/>
      <c r="E46" s="113"/>
      <c r="F46" s="113"/>
      <c r="G46" s="114"/>
      <c r="H46" s="29" t="s">
        <v>3</v>
      </c>
      <c r="I46" s="30">
        <v>0</v>
      </c>
      <c r="J46" s="31">
        <v>0</v>
      </c>
      <c r="K46" s="31">
        <v>0</v>
      </c>
      <c r="L46" s="31" t="s">
        <v>480</v>
      </c>
      <c r="M46" s="31">
        <v>0</v>
      </c>
      <c r="N46" s="31" t="s">
        <v>480</v>
      </c>
      <c r="O46" s="31">
        <v>0</v>
      </c>
      <c r="P46" s="31" t="s">
        <v>480</v>
      </c>
      <c r="Q46" s="31">
        <v>0</v>
      </c>
      <c r="R46" s="32" t="s">
        <v>480</v>
      </c>
      <c r="S46" s="33">
        <f t="shared" si="1"/>
        <v>0</v>
      </c>
    </row>
    <row r="47" spans="1:19" s="15" customFormat="1" ht="25.5" customHeight="1" x14ac:dyDescent="0.2">
      <c r="A47" s="110" t="s">
        <v>35</v>
      </c>
      <c r="B47" s="111"/>
      <c r="C47" s="115" t="s">
        <v>83</v>
      </c>
      <c r="D47" s="116"/>
      <c r="E47" s="116"/>
      <c r="F47" s="116"/>
      <c r="G47" s="117"/>
      <c r="H47" s="29" t="s">
        <v>3</v>
      </c>
      <c r="I47" s="30">
        <v>0</v>
      </c>
      <c r="J47" s="31">
        <v>0</v>
      </c>
      <c r="K47" s="31">
        <v>0</v>
      </c>
      <c r="L47" s="31" t="s">
        <v>480</v>
      </c>
      <c r="M47" s="31">
        <v>0</v>
      </c>
      <c r="N47" s="31" t="s">
        <v>480</v>
      </c>
      <c r="O47" s="31">
        <v>0</v>
      </c>
      <c r="P47" s="31" t="s">
        <v>480</v>
      </c>
      <c r="Q47" s="31">
        <v>0</v>
      </c>
      <c r="R47" s="32" t="s">
        <v>480</v>
      </c>
      <c r="S47" s="33">
        <f t="shared" si="1"/>
        <v>0</v>
      </c>
    </row>
    <row r="48" spans="1:19" s="15" customFormat="1" ht="25.5" customHeight="1" x14ac:dyDescent="0.2">
      <c r="A48" s="110" t="s">
        <v>36</v>
      </c>
      <c r="B48" s="111"/>
      <c r="C48" s="115" t="s">
        <v>84</v>
      </c>
      <c r="D48" s="116"/>
      <c r="E48" s="116"/>
      <c r="F48" s="116"/>
      <c r="G48" s="117"/>
      <c r="H48" s="29" t="s">
        <v>3</v>
      </c>
      <c r="I48" s="30">
        <v>0</v>
      </c>
      <c r="J48" s="31">
        <v>0</v>
      </c>
      <c r="K48" s="31">
        <v>0</v>
      </c>
      <c r="L48" s="31" t="s">
        <v>480</v>
      </c>
      <c r="M48" s="31">
        <v>0</v>
      </c>
      <c r="N48" s="31" t="s">
        <v>480</v>
      </c>
      <c r="O48" s="31">
        <v>0</v>
      </c>
      <c r="P48" s="31" t="s">
        <v>480</v>
      </c>
      <c r="Q48" s="31">
        <v>0</v>
      </c>
      <c r="R48" s="32" t="s">
        <v>480</v>
      </c>
      <c r="S48" s="33">
        <f t="shared" si="1"/>
        <v>0</v>
      </c>
    </row>
    <row r="49" spans="1:19" s="15" customFormat="1" ht="25.5" customHeight="1" x14ac:dyDescent="0.2">
      <c r="A49" s="110" t="s">
        <v>37</v>
      </c>
      <c r="B49" s="111"/>
      <c r="C49" s="112" t="s">
        <v>85</v>
      </c>
      <c r="D49" s="113"/>
      <c r="E49" s="113"/>
      <c r="F49" s="113"/>
      <c r="G49" s="114"/>
      <c r="H49" s="29" t="s">
        <v>3</v>
      </c>
      <c r="I49" s="30">
        <v>0</v>
      </c>
      <c r="J49" s="31">
        <v>0</v>
      </c>
      <c r="K49" s="31">
        <v>0</v>
      </c>
      <c r="L49" s="31" t="s">
        <v>480</v>
      </c>
      <c r="M49" s="31">
        <v>0</v>
      </c>
      <c r="N49" s="31" t="s">
        <v>480</v>
      </c>
      <c r="O49" s="31">
        <v>0</v>
      </c>
      <c r="P49" s="31" t="s">
        <v>480</v>
      </c>
      <c r="Q49" s="31">
        <v>0</v>
      </c>
      <c r="R49" s="32" t="s">
        <v>480</v>
      </c>
      <c r="S49" s="33">
        <f t="shared" si="1"/>
        <v>0</v>
      </c>
    </row>
    <row r="50" spans="1:19" s="15" customFormat="1" ht="25.5" customHeight="1" x14ac:dyDescent="0.2">
      <c r="A50" s="110" t="s">
        <v>38</v>
      </c>
      <c r="B50" s="111"/>
      <c r="C50" s="112" t="s">
        <v>87</v>
      </c>
      <c r="D50" s="113"/>
      <c r="E50" s="113"/>
      <c r="F50" s="113"/>
      <c r="G50" s="114"/>
      <c r="H50" s="29" t="s">
        <v>3</v>
      </c>
      <c r="I50" s="30">
        <f>I51+I52+I57+I58</f>
        <v>1814.98478204</v>
      </c>
      <c r="J50" s="31">
        <f t="shared" ref="J50" si="8">J51+J52+J57+J58</f>
        <v>1971.43887367</v>
      </c>
      <c r="K50" s="31">
        <f>K51+K52+K57+K58</f>
        <v>2075.8810153691243</v>
      </c>
      <c r="L50" s="31" t="s">
        <v>480</v>
      </c>
      <c r="M50" s="31">
        <f>M51+M52+M57+M58</f>
        <v>2146.3325855846683</v>
      </c>
      <c r="N50" s="31" t="s">
        <v>480</v>
      </c>
      <c r="O50" s="31">
        <f>O51+O52+O57+O58</f>
        <v>2237.7859846223942</v>
      </c>
      <c r="P50" s="31" t="s">
        <v>480</v>
      </c>
      <c r="Q50" s="31">
        <f>Q51+Q52+Q57+Q58</f>
        <v>2556.0935729926828</v>
      </c>
      <c r="R50" s="32" t="s">
        <v>480</v>
      </c>
      <c r="S50" s="33">
        <f t="shared" si="1"/>
        <v>6940.2121431997457</v>
      </c>
    </row>
    <row r="51" spans="1:19" s="15" customFormat="1" ht="25.5" customHeight="1" x14ac:dyDescent="0.2">
      <c r="A51" s="110" t="s">
        <v>24</v>
      </c>
      <c r="B51" s="111"/>
      <c r="C51" s="115" t="s">
        <v>88</v>
      </c>
      <c r="D51" s="116"/>
      <c r="E51" s="116"/>
      <c r="F51" s="116"/>
      <c r="G51" s="117"/>
      <c r="H51" s="29" t="s">
        <v>3</v>
      </c>
      <c r="I51" s="30">
        <v>0</v>
      </c>
      <c r="J51" s="31">
        <v>0</v>
      </c>
      <c r="K51" s="31">
        <f>[1]КБЭ!$BD$37/1000</f>
        <v>6.1909999999999998</v>
      </c>
      <c r="L51" s="31" t="s">
        <v>480</v>
      </c>
      <c r="M51" s="31">
        <f>[1]КБЭ!$CB$37/1000</f>
        <v>6.2274649899999988</v>
      </c>
      <c r="N51" s="31" t="s">
        <v>480</v>
      </c>
      <c r="O51" s="31">
        <f>[1]КБЭ!$CF$37/1000</f>
        <v>6.2822666819119988</v>
      </c>
      <c r="P51" s="31" t="s">
        <v>480</v>
      </c>
      <c r="Q51" s="31">
        <f>[1]КБЭ!$CJ$37/1000</f>
        <v>6.3375506287128243</v>
      </c>
      <c r="R51" s="32" t="s">
        <v>480</v>
      </c>
      <c r="S51" s="33">
        <f t="shared" si="1"/>
        <v>18.847282300624819</v>
      </c>
    </row>
    <row r="52" spans="1:19" s="15" customFormat="1" ht="25.5" customHeight="1" x14ac:dyDescent="0.2">
      <c r="A52" s="110" t="s">
        <v>26</v>
      </c>
      <c r="B52" s="111"/>
      <c r="C52" s="115" t="s">
        <v>89</v>
      </c>
      <c r="D52" s="116"/>
      <c r="E52" s="116"/>
      <c r="F52" s="116"/>
      <c r="G52" s="117"/>
      <c r="H52" s="29" t="s">
        <v>3</v>
      </c>
      <c r="I52" s="30">
        <f>I53+I56</f>
        <v>1801.0583295599999</v>
      </c>
      <c r="J52" s="31">
        <f t="shared" ref="J52" si="9">J53+J56</f>
        <v>1958.345812</v>
      </c>
      <c r="K52" s="31">
        <f>K53+K56</f>
        <v>2058.6316673362808</v>
      </c>
      <c r="L52" s="31" t="s">
        <v>480</v>
      </c>
      <c r="M52" s="31">
        <f>M53+M56</f>
        <v>2131.4477817788443</v>
      </c>
      <c r="N52" s="31" t="s">
        <v>480</v>
      </c>
      <c r="O52" s="31">
        <f>O53+O56</f>
        <v>2222.6847933391527</v>
      </c>
      <c r="P52" s="31" t="s">
        <v>480</v>
      </c>
      <c r="Q52" s="31">
        <f>Q53+Q56</f>
        <v>2540.770660091518</v>
      </c>
      <c r="R52" s="32" t="s">
        <v>480</v>
      </c>
      <c r="S52" s="33">
        <f t="shared" si="1"/>
        <v>6894.9032352095155</v>
      </c>
    </row>
    <row r="53" spans="1:19" s="15" customFormat="1" ht="25.5" customHeight="1" x14ac:dyDescent="0.2">
      <c r="A53" s="110" t="s">
        <v>39</v>
      </c>
      <c r="B53" s="111"/>
      <c r="C53" s="107" t="s">
        <v>90</v>
      </c>
      <c r="D53" s="108"/>
      <c r="E53" s="108"/>
      <c r="F53" s="108"/>
      <c r="G53" s="109"/>
      <c r="H53" s="29" t="s">
        <v>3</v>
      </c>
      <c r="I53" s="30">
        <f>I54+I54+I55</f>
        <v>1801.0583295599999</v>
      </c>
      <c r="J53" s="31">
        <f t="shared" ref="J53" si="10">J54+J54+J55</f>
        <v>1958.345812</v>
      </c>
      <c r="K53" s="31">
        <f>K54+K54+K55</f>
        <v>2058.6316673362808</v>
      </c>
      <c r="L53" s="31" t="s">
        <v>480</v>
      </c>
      <c r="M53" s="31">
        <f>M54+M54+M55</f>
        <v>2131.4477817788443</v>
      </c>
      <c r="N53" s="31" t="s">
        <v>480</v>
      </c>
      <c r="O53" s="31">
        <f>O54+O54+O55</f>
        <v>2222.6847933391527</v>
      </c>
      <c r="P53" s="31" t="s">
        <v>480</v>
      </c>
      <c r="Q53" s="31">
        <f>Q54+Q54+Q55</f>
        <v>2540.770660091518</v>
      </c>
      <c r="R53" s="32" t="s">
        <v>480</v>
      </c>
      <c r="S53" s="33">
        <f t="shared" si="1"/>
        <v>6894.9032352095155</v>
      </c>
    </row>
    <row r="54" spans="1:19" s="15" customFormat="1" ht="25.5" customHeight="1" x14ac:dyDescent="0.2">
      <c r="A54" s="110" t="s">
        <v>41</v>
      </c>
      <c r="B54" s="111"/>
      <c r="C54" s="134" t="s">
        <v>91</v>
      </c>
      <c r="D54" s="135"/>
      <c r="E54" s="135"/>
      <c r="F54" s="135"/>
      <c r="G54" s="136"/>
      <c r="H54" s="29" t="s">
        <v>3</v>
      </c>
      <c r="I54" s="30">
        <v>0</v>
      </c>
      <c r="J54" s="31">
        <v>0</v>
      </c>
      <c r="K54" s="31">
        <v>0</v>
      </c>
      <c r="L54" s="31" t="s">
        <v>480</v>
      </c>
      <c r="M54" s="31">
        <v>0</v>
      </c>
      <c r="N54" s="31" t="s">
        <v>480</v>
      </c>
      <c r="O54" s="31">
        <v>0</v>
      </c>
      <c r="P54" s="31" t="s">
        <v>480</v>
      </c>
      <c r="Q54" s="31">
        <v>0</v>
      </c>
      <c r="R54" s="32" t="s">
        <v>480</v>
      </c>
      <c r="S54" s="33">
        <f t="shared" si="1"/>
        <v>0</v>
      </c>
    </row>
    <row r="55" spans="1:19" s="15" customFormat="1" ht="25.5" customHeight="1" x14ac:dyDescent="0.2">
      <c r="A55" s="110" t="s">
        <v>56</v>
      </c>
      <c r="B55" s="111"/>
      <c r="C55" s="134" t="s">
        <v>92</v>
      </c>
      <c r="D55" s="135"/>
      <c r="E55" s="135"/>
      <c r="F55" s="135"/>
      <c r="G55" s="136"/>
      <c r="H55" s="29" t="s">
        <v>3</v>
      </c>
      <c r="I55" s="30">
        <v>1801.0583295599999</v>
      </c>
      <c r="J55" s="31">
        <v>1958.345812</v>
      </c>
      <c r="K55" s="31">
        <f>[1]КБЭ!$BD$33/1000</f>
        <v>2058.6316673362808</v>
      </c>
      <c r="L55" s="31" t="s">
        <v>480</v>
      </c>
      <c r="M55" s="31">
        <f>[1]КБЭ!$CB$33/1000</f>
        <v>2131.4477817788443</v>
      </c>
      <c r="N55" s="31" t="s">
        <v>480</v>
      </c>
      <c r="O55" s="31">
        <f>[1]КБЭ!$CF$33/1000</f>
        <v>2222.6847933391527</v>
      </c>
      <c r="P55" s="31" t="s">
        <v>480</v>
      </c>
      <c r="Q55" s="31">
        <f>[1]КБЭ!$CJ$33/1000</f>
        <v>2540.770660091518</v>
      </c>
      <c r="R55" s="32" t="s">
        <v>480</v>
      </c>
      <c r="S55" s="33">
        <f t="shared" si="1"/>
        <v>6894.9032352095155</v>
      </c>
    </row>
    <row r="56" spans="1:19" s="15" customFormat="1" ht="25.5" customHeight="1" x14ac:dyDescent="0.2">
      <c r="A56" s="110" t="s">
        <v>40</v>
      </c>
      <c r="B56" s="111"/>
      <c r="C56" s="107" t="s">
        <v>93</v>
      </c>
      <c r="D56" s="108"/>
      <c r="E56" s="108"/>
      <c r="F56" s="108"/>
      <c r="G56" s="109"/>
      <c r="H56" s="29" t="s">
        <v>3</v>
      </c>
      <c r="I56" s="30">
        <v>0</v>
      </c>
      <c r="J56" s="31">
        <v>0</v>
      </c>
      <c r="K56" s="31">
        <v>0</v>
      </c>
      <c r="L56" s="31" t="s">
        <v>480</v>
      </c>
      <c r="M56" s="31">
        <v>0</v>
      </c>
      <c r="N56" s="31" t="s">
        <v>480</v>
      </c>
      <c r="O56" s="31">
        <v>0</v>
      </c>
      <c r="P56" s="31" t="s">
        <v>480</v>
      </c>
      <c r="Q56" s="31">
        <v>0</v>
      </c>
      <c r="R56" s="32" t="s">
        <v>480</v>
      </c>
      <c r="S56" s="33">
        <f t="shared" si="1"/>
        <v>0</v>
      </c>
    </row>
    <row r="57" spans="1:19" s="15" customFormat="1" ht="25.5" customHeight="1" x14ac:dyDescent="0.2">
      <c r="A57" s="110" t="s">
        <v>27</v>
      </c>
      <c r="B57" s="111"/>
      <c r="C57" s="115" t="s">
        <v>94</v>
      </c>
      <c r="D57" s="116"/>
      <c r="E57" s="116"/>
      <c r="F57" s="116"/>
      <c r="G57" s="117"/>
      <c r="H57" s="29" t="s">
        <v>3</v>
      </c>
      <c r="I57" s="30">
        <v>13.92645248</v>
      </c>
      <c r="J57" s="31">
        <v>13.093061669999999</v>
      </c>
      <c r="K57" s="31">
        <f>([1]КБЭ!$BD$31+[1]КБЭ!$BD$38)/1000</f>
        <v>11.058348032843755</v>
      </c>
      <c r="L57" s="31" t="s">
        <v>480</v>
      </c>
      <c r="M57" s="31">
        <f>([1]КБЭ!$CB$31+[1]КБЭ!$CB$38)/1000</f>
        <v>8.65733881582387</v>
      </c>
      <c r="N57" s="31" t="s">
        <v>480</v>
      </c>
      <c r="O57" s="31">
        <f>([1]КБЭ!$CF$31+[1]КБЭ!$CF$38)/1000</f>
        <v>8.8189246013294511</v>
      </c>
      <c r="P57" s="31" t="s">
        <v>480</v>
      </c>
      <c r="Q57" s="31">
        <f>([1]КБЭ!$CJ$31+[1]КБЭ!$CJ$38)/1000</f>
        <v>8.9853622724519457</v>
      </c>
      <c r="R57" s="32" t="s">
        <v>480</v>
      </c>
      <c r="S57" s="33">
        <f t="shared" si="1"/>
        <v>26.461625689605263</v>
      </c>
    </row>
    <row r="58" spans="1:19" s="15" customFormat="1" ht="25.5" customHeight="1" x14ac:dyDescent="0.2">
      <c r="A58" s="110" t="s">
        <v>57</v>
      </c>
      <c r="B58" s="111"/>
      <c r="C58" s="115" t="s">
        <v>95</v>
      </c>
      <c r="D58" s="116"/>
      <c r="E58" s="116"/>
      <c r="F58" s="116"/>
      <c r="G58" s="117"/>
      <c r="H58" s="29" t="s">
        <v>3</v>
      </c>
      <c r="I58" s="30">
        <v>0</v>
      </c>
      <c r="J58" s="31">
        <v>0</v>
      </c>
      <c r="K58" s="31"/>
      <c r="L58" s="31" t="s">
        <v>480</v>
      </c>
      <c r="M58" s="31"/>
      <c r="N58" s="31" t="s">
        <v>480</v>
      </c>
      <c r="O58" s="31"/>
      <c r="P58" s="31" t="s">
        <v>480</v>
      </c>
      <c r="Q58" s="31"/>
      <c r="R58" s="32" t="s">
        <v>480</v>
      </c>
      <c r="S58" s="33">
        <f t="shared" si="1"/>
        <v>0</v>
      </c>
    </row>
    <row r="59" spans="1:19" s="15" customFormat="1" ht="25.5" customHeight="1" x14ac:dyDescent="0.2">
      <c r="A59" s="110" t="s">
        <v>58</v>
      </c>
      <c r="B59" s="111"/>
      <c r="C59" s="112" t="s">
        <v>96</v>
      </c>
      <c r="D59" s="113"/>
      <c r="E59" s="113"/>
      <c r="F59" s="113"/>
      <c r="G59" s="114"/>
      <c r="H59" s="29" t="s">
        <v>3</v>
      </c>
      <c r="I59" s="30">
        <f>SUM(I60:I64)</f>
        <v>2331.0855523099999</v>
      </c>
      <c r="J59" s="31">
        <f t="shared" ref="J59" si="11">SUM(J60:J64)</f>
        <v>2411.88560005</v>
      </c>
      <c r="K59" s="31">
        <f>SUM(K60:K64)</f>
        <v>2406.2130548755531</v>
      </c>
      <c r="L59" s="31" t="s">
        <v>480</v>
      </c>
      <c r="M59" s="31">
        <f>SUM(M60:M64)</f>
        <v>2540.3738574082881</v>
      </c>
      <c r="N59" s="31" t="s">
        <v>480</v>
      </c>
      <c r="O59" s="31">
        <f>SUM(O60:O64)</f>
        <v>2679.8724152761483</v>
      </c>
      <c r="P59" s="31" t="s">
        <v>480</v>
      </c>
      <c r="Q59" s="31">
        <f>SUM(Q60:Q64)</f>
        <v>2798.94158695125</v>
      </c>
      <c r="R59" s="32" t="s">
        <v>480</v>
      </c>
      <c r="S59" s="33">
        <f t="shared" si="1"/>
        <v>8019.1878596356873</v>
      </c>
    </row>
    <row r="60" spans="1:19" s="15" customFormat="1" ht="25.5" customHeight="1" x14ac:dyDescent="0.2">
      <c r="A60" s="110" t="s">
        <v>59</v>
      </c>
      <c r="B60" s="111"/>
      <c r="C60" s="115" t="s">
        <v>97</v>
      </c>
      <c r="D60" s="116"/>
      <c r="E60" s="116"/>
      <c r="F60" s="116"/>
      <c r="G60" s="117"/>
      <c r="H60" s="29" t="s">
        <v>3</v>
      </c>
      <c r="I60" s="30">
        <v>0</v>
      </c>
      <c r="J60" s="31">
        <v>0</v>
      </c>
      <c r="K60" s="31">
        <v>0</v>
      </c>
      <c r="L60" s="31" t="s">
        <v>480</v>
      </c>
      <c r="M60" s="31">
        <v>0</v>
      </c>
      <c r="N60" s="31" t="s">
        <v>480</v>
      </c>
      <c r="O60" s="31">
        <v>0</v>
      </c>
      <c r="P60" s="31" t="s">
        <v>480</v>
      </c>
      <c r="Q60" s="31">
        <v>0</v>
      </c>
      <c r="R60" s="32" t="s">
        <v>480</v>
      </c>
      <c r="S60" s="33">
        <f t="shared" si="1"/>
        <v>0</v>
      </c>
    </row>
    <row r="61" spans="1:19" s="15" customFormat="1" ht="25.5" customHeight="1" x14ac:dyDescent="0.2">
      <c r="A61" s="110" t="s">
        <v>60</v>
      </c>
      <c r="B61" s="111"/>
      <c r="C61" s="115" t="s">
        <v>98</v>
      </c>
      <c r="D61" s="116"/>
      <c r="E61" s="116"/>
      <c r="F61" s="116"/>
      <c r="G61" s="117"/>
      <c r="H61" s="29" t="s">
        <v>3</v>
      </c>
      <c r="I61" s="30">
        <v>2326.8302143000001</v>
      </c>
      <c r="J61" s="31">
        <v>2407.5345698900001</v>
      </c>
      <c r="K61" s="31">
        <f>[1]КБЭ!$BD$43/1000</f>
        <v>2401.2002119060658</v>
      </c>
      <c r="L61" s="31" t="s">
        <v>480</v>
      </c>
      <c r="M61" s="31">
        <f>[1]КБЭ!$CB$43/1000</f>
        <v>2535.1432031236664</v>
      </c>
      <c r="N61" s="31" t="s">
        <v>480</v>
      </c>
      <c r="O61" s="31">
        <f>[1]КБЭ!$CF$43/1000</f>
        <v>2674.3980566576834</v>
      </c>
      <c r="P61" s="31" t="s">
        <v>480</v>
      </c>
      <c r="Q61" s="31">
        <f>[1]КБЭ!$CJ$43/1000</f>
        <v>2793.2147999125036</v>
      </c>
      <c r="R61" s="32" t="s">
        <v>480</v>
      </c>
      <c r="S61" s="33">
        <f t="shared" si="1"/>
        <v>8002.7560596938538</v>
      </c>
    </row>
    <row r="62" spans="1:19" s="15" customFormat="1" ht="25.5" customHeight="1" x14ac:dyDescent="0.2">
      <c r="A62" s="110" t="s">
        <v>61</v>
      </c>
      <c r="B62" s="111"/>
      <c r="C62" s="115" t="s">
        <v>99</v>
      </c>
      <c r="D62" s="116"/>
      <c r="E62" s="116"/>
      <c r="F62" s="116"/>
      <c r="G62" s="117"/>
      <c r="H62" s="29" t="s">
        <v>3</v>
      </c>
      <c r="I62" s="30">
        <v>0</v>
      </c>
      <c r="J62" s="31">
        <v>0</v>
      </c>
      <c r="K62" s="31">
        <v>0</v>
      </c>
      <c r="L62" s="31" t="s">
        <v>480</v>
      </c>
      <c r="M62" s="31">
        <v>0</v>
      </c>
      <c r="N62" s="31" t="s">
        <v>480</v>
      </c>
      <c r="O62" s="31">
        <v>0</v>
      </c>
      <c r="P62" s="31" t="s">
        <v>480</v>
      </c>
      <c r="Q62" s="31">
        <v>0</v>
      </c>
      <c r="R62" s="32" t="s">
        <v>480</v>
      </c>
      <c r="S62" s="33">
        <f t="shared" si="1"/>
        <v>0</v>
      </c>
    </row>
    <row r="63" spans="1:19" s="15" customFormat="1" ht="25.5" customHeight="1" x14ac:dyDescent="0.2">
      <c r="A63" s="110" t="s">
        <v>62</v>
      </c>
      <c r="B63" s="111"/>
      <c r="C63" s="115" t="s">
        <v>100</v>
      </c>
      <c r="D63" s="116"/>
      <c r="E63" s="116"/>
      <c r="F63" s="116"/>
      <c r="G63" s="117"/>
      <c r="H63" s="29" t="s">
        <v>3</v>
      </c>
      <c r="I63" s="30">
        <v>4.2553380099999991</v>
      </c>
      <c r="J63" s="31">
        <v>4.3510301600000005</v>
      </c>
      <c r="K63" s="31">
        <f>[1]КБЭ!$BD$267/1000</f>
        <v>4.5501500799999999</v>
      </c>
      <c r="L63" s="31" t="s">
        <v>480</v>
      </c>
      <c r="M63" s="31">
        <f>[1]КБЭ!$CB$267/1000</f>
        <v>4.7559087399999997</v>
      </c>
      <c r="N63" s="31" t="s">
        <v>480</v>
      </c>
      <c r="O63" s="31">
        <f>[1]КБЭ!$CF$267/1000</f>
        <v>4.9891049300000008</v>
      </c>
      <c r="P63" s="31" t="s">
        <v>480</v>
      </c>
      <c r="Q63" s="31">
        <f>[1]КБЭ!$CJ$267/1000</f>
        <v>5.23405422</v>
      </c>
      <c r="R63" s="32" t="s">
        <v>480</v>
      </c>
      <c r="S63" s="33">
        <f t="shared" si="1"/>
        <v>14.97906789</v>
      </c>
    </row>
    <row r="64" spans="1:19" s="15" customFormat="1" ht="25.5" customHeight="1" x14ac:dyDescent="0.2">
      <c r="A64" s="110" t="s">
        <v>63</v>
      </c>
      <c r="B64" s="111"/>
      <c r="C64" s="115" t="s">
        <v>101</v>
      </c>
      <c r="D64" s="116"/>
      <c r="E64" s="116"/>
      <c r="F64" s="116"/>
      <c r="G64" s="117"/>
      <c r="H64" s="29" t="s">
        <v>3</v>
      </c>
      <c r="I64" s="30">
        <v>0</v>
      </c>
      <c r="J64" s="31">
        <v>0</v>
      </c>
      <c r="K64" s="31">
        <f>([1]КБЭ!$BD$48+[1]КБЭ!$BD$41)/1000</f>
        <v>0.46269288948711185</v>
      </c>
      <c r="L64" s="31" t="s">
        <v>480</v>
      </c>
      <c r="M64" s="31">
        <f>([1]КБЭ!$CB$48+[1]КБЭ!$CB$41)/1000</f>
        <v>0.474745544621751</v>
      </c>
      <c r="N64" s="31" t="s">
        <v>480</v>
      </c>
      <c r="O64" s="31">
        <f>([1]КБЭ!$CF$48+[1]КБЭ!$CF$41)/1000</f>
        <v>0.48525368846485922</v>
      </c>
      <c r="P64" s="31" t="s">
        <v>480</v>
      </c>
      <c r="Q64" s="31">
        <f>([1]КБЭ!$CJ$48+[1]КБЭ!$CJ$41)/1000</f>
        <v>0.49273281874645064</v>
      </c>
      <c r="R64" s="32" t="s">
        <v>480</v>
      </c>
      <c r="S64" s="33">
        <f t="shared" si="1"/>
        <v>1.4527320518330609</v>
      </c>
    </row>
    <row r="65" spans="1:19" s="15" customFormat="1" ht="25.5" customHeight="1" x14ac:dyDescent="0.2">
      <c r="A65" s="110" t="s">
        <v>64</v>
      </c>
      <c r="B65" s="111"/>
      <c r="C65" s="112" t="s">
        <v>102</v>
      </c>
      <c r="D65" s="113"/>
      <c r="E65" s="113"/>
      <c r="F65" s="113"/>
      <c r="G65" s="114"/>
      <c r="H65" s="29" t="s">
        <v>3</v>
      </c>
      <c r="I65" s="30">
        <f>165.506+48.748+87.181+25.764</f>
        <v>327.19900000000001</v>
      </c>
      <c r="J65" s="31">
        <f>163.578+48.642+88.865+26.059</f>
        <v>327.14400000000001</v>
      </c>
      <c r="K65" s="31">
        <f>([1]КБЭ!$BD$51+[1]КБЭ!$BD$52)/1000</f>
        <v>350.55588010256588</v>
      </c>
      <c r="L65" s="31" t="s">
        <v>480</v>
      </c>
      <c r="M65" s="31">
        <f>([1]КБЭ!$CB$51+[1]КБЭ!$CB$52)/1000</f>
        <v>364.50207485896539</v>
      </c>
      <c r="N65" s="31" t="s">
        <v>480</v>
      </c>
      <c r="O65" s="31">
        <f>([1]КБЭ!$CF$51+[1]КБЭ!$CF$52)/1000</f>
        <v>379.08215785332408</v>
      </c>
      <c r="P65" s="31" t="s">
        <v>480</v>
      </c>
      <c r="Q65" s="31">
        <f>([1]КБЭ!$CJ$51+[1]КБЭ!$CJ$52)/1000</f>
        <v>394.24544416745704</v>
      </c>
      <c r="R65" s="32" t="s">
        <v>480</v>
      </c>
      <c r="S65" s="33">
        <f t="shared" si="1"/>
        <v>1137.8296768797466</v>
      </c>
    </row>
    <row r="66" spans="1:19" s="15" customFormat="1" ht="25.5" customHeight="1" x14ac:dyDescent="0.2">
      <c r="A66" s="110" t="s">
        <v>65</v>
      </c>
      <c r="B66" s="111"/>
      <c r="C66" s="112" t="s">
        <v>103</v>
      </c>
      <c r="D66" s="113"/>
      <c r="E66" s="113"/>
      <c r="F66" s="113"/>
      <c r="G66" s="114"/>
      <c r="H66" s="29" t="s">
        <v>3</v>
      </c>
      <c r="I66" s="30">
        <f>1.744+0.854</f>
        <v>2.5979999999999999</v>
      </c>
      <c r="J66" s="31">
        <f>0.861+0.347</f>
        <v>1.208</v>
      </c>
      <c r="K66" s="31">
        <f>[1]КБЭ!$BD$49/1000</f>
        <v>1.5605231218684146</v>
      </c>
      <c r="L66" s="31" t="s">
        <v>480</v>
      </c>
      <c r="M66" s="31">
        <f>'[2]ФЭМ сравнение с БП'!$G$21/1000</f>
        <v>1.6648889447252144</v>
      </c>
      <c r="N66" s="31" t="s">
        <v>480</v>
      </c>
      <c r="O66" s="31">
        <f>'[2]ФЭМ сравнение с БП'!$H$21/1000</f>
        <v>13.304124427368309</v>
      </c>
      <c r="P66" s="31" t="s">
        <v>480</v>
      </c>
      <c r="Q66" s="31">
        <f>'[2]ФЭМ сравнение с БП'!$I$21/1000</f>
        <v>22.783900474254192</v>
      </c>
      <c r="R66" s="32" t="s">
        <v>480</v>
      </c>
      <c r="S66" s="33">
        <f t="shared" si="1"/>
        <v>37.752913846347717</v>
      </c>
    </row>
    <row r="67" spans="1:19" s="15" customFormat="1" ht="25.5" customHeight="1" x14ac:dyDescent="0.2">
      <c r="A67" s="110" t="s">
        <v>66</v>
      </c>
      <c r="B67" s="111"/>
      <c r="C67" s="112" t="s">
        <v>104</v>
      </c>
      <c r="D67" s="113"/>
      <c r="E67" s="113"/>
      <c r="F67" s="113"/>
      <c r="G67" s="114"/>
      <c r="H67" s="29" t="s">
        <v>3</v>
      </c>
      <c r="I67" s="30">
        <f>I68+I69</f>
        <v>0.29225200000000001</v>
      </c>
      <c r="J67" s="31">
        <f t="shared" ref="J67:K67" si="12">J68+J69</f>
        <v>0.24661600000000003</v>
      </c>
      <c r="K67" s="31">
        <f t="shared" si="12"/>
        <v>0.71723199999999998</v>
      </c>
      <c r="L67" s="31" t="s">
        <v>480</v>
      </c>
      <c r="M67" s="31">
        <f t="shared" ref="M67" si="13">M68+M69</f>
        <v>0.72079529647999996</v>
      </c>
      <c r="N67" s="31" t="s">
        <v>480</v>
      </c>
      <c r="O67" s="31">
        <f t="shared" ref="O67" si="14">O68+O69</f>
        <v>0.72449829508902397</v>
      </c>
      <c r="P67" s="31" t="s">
        <v>480</v>
      </c>
      <c r="Q67" s="31">
        <f t="shared" ref="Q67" si="15">Q68+Q69</f>
        <v>0.72823388008580747</v>
      </c>
      <c r="R67" s="32" t="s">
        <v>480</v>
      </c>
      <c r="S67" s="33">
        <f t="shared" si="1"/>
        <v>2.1735274716548316</v>
      </c>
    </row>
    <row r="68" spans="1:19" s="15" customFormat="1" ht="25.5" customHeight="1" x14ac:dyDescent="0.2">
      <c r="A68" s="110" t="s">
        <v>67</v>
      </c>
      <c r="B68" s="111"/>
      <c r="C68" s="115" t="s">
        <v>105</v>
      </c>
      <c r="D68" s="116"/>
      <c r="E68" s="116"/>
      <c r="F68" s="116"/>
      <c r="G68" s="117"/>
      <c r="H68" s="29" t="s">
        <v>3</v>
      </c>
      <c r="I68" s="30">
        <v>0.24651200000000001</v>
      </c>
      <c r="J68" s="31">
        <v>0.20944900000000002</v>
      </c>
      <c r="K68" s="31">
        <f>[1]КБЭ!$BD$58/1000</f>
        <v>0.32</v>
      </c>
      <c r="L68" s="31" t="s">
        <v>480</v>
      </c>
      <c r="M68" s="31">
        <f>[1]КБЭ!$CB$58/1000</f>
        <v>0.32281599999999999</v>
      </c>
      <c r="N68" s="31" t="s">
        <v>480</v>
      </c>
      <c r="O68" s="31">
        <f>[1]КБЭ!$CF$58/1000</f>
        <v>0.32565678079999999</v>
      </c>
      <c r="P68" s="31" t="s">
        <v>480</v>
      </c>
      <c r="Q68" s="31">
        <f>[1]КБЭ!$CJ$58/1000</f>
        <v>0.32852256047104</v>
      </c>
      <c r="R68" s="32" t="s">
        <v>480</v>
      </c>
      <c r="S68" s="33">
        <f t="shared" si="1"/>
        <v>0.97699534127103993</v>
      </c>
    </row>
    <row r="69" spans="1:19" s="15" customFormat="1" ht="25.5" customHeight="1" x14ac:dyDescent="0.2">
      <c r="A69" s="110" t="s">
        <v>68</v>
      </c>
      <c r="B69" s="111"/>
      <c r="C69" s="115" t="s">
        <v>106</v>
      </c>
      <c r="D69" s="116"/>
      <c r="E69" s="116"/>
      <c r="F69" s="116"/>
      <c r="G69" s="117"/>
      <c r="H69" s="29" t="s">
        <v>3</v>
      </c>
      <c r="I69" s="30">
        <v>4.5740000000000003E-2</v>
      </c>
      <c r="J69" s="31">
        <v>3.7166999999999999E-2</v>
      </c>
      <c r="K69" s="31">
        <f>([1]КБЭ!$BD$55+[1]КБЭ!$BD$56+[1]КБЭ!$BD$57+[1]КБЭ!$BD$59+[1]КБЭ!$BD$60+[1]КБЭ!$BD$61)/1000</f>
        <v>0.39723199999999997</v>
      </c>
      <c r="L69" s="31" t="s">
        <v>480</v>
      </c>
      <c r="M69" s="31">
        <f>([1]КБЭ!$CB$55+[1]КБЭ!$CB$56+[1]КБЭ!$CB$57+[1]КБЭ!$CB$59+[1]КБЭ!$CB$60+[1]КБЭ!$CB$61)/1000</f>
        <v>0.39797929648000002</v>
      </c>
      <c r="N69" s="31" t="s">
        <v>480</v>
      </c>
      <c r="O69" s="31">
        <f>([1]КБЭ!$CF$55+[1]КБЭ!$CF$56+[1]КБЭ!$CF$57+[1]КБЭ!$CF$59+[1]КБЭ!$CF$60+[1]КБЭ!$CF$61)/1000</f>
        <v>0.39884151428902404</v>
      </c>
      <c r="P69" s="31" t="s">
        <v>480</v>
      </c>
      <c r="Q69" s="31">
        <f>([1]КБЭ!$CJ$55+[1]КБЭ!$CJ$56+[1]КБЭ!$CJ$57+[1]КБЭ!$CJ$59+[1]КБЭ!$CJ$60+[1]КБЭ!$CJ$61)/1000</f>
        <v>0.39971131961476741</v>
      </c>
      <c r="R69" s="32" t="s">
        <v>480</v>
      </c>
      <c r="S69" s="33">
        <f t="shared" si="1"/>
        <v>1.1965321303837915</v>
      </c>
    </row>
    <row r="70" spans="1:19" s="15" customFormat="1" ht="25.5" customHeight="1" x14ac:dyDescent="0.2">
      <c r="A70" s="110" t="s">
        <v>69</v>
      </c>
      <c r="B70" s="111"/>
      <c r="C70" s="112" t="s">
        <v>107</v>
      </c>
      <c r="D70" s="113"/>
      <c r="E70" s="113"/>
      <c r="F70" s="113"/>
      <c r="G70" s="114"/>
      <c r="H70" s="29" t="s">
        <v>3</v>
      </c>
      <c r="I70" s="30">
        <f>SUM(I71:I73)</f>
        <v>106.54772500000074</v>
      </c>
      <c r="J70" s="31">
        <f t="shared" ref="J70:K70" si="16">SUM(J71:J73)</f>
        <v>93.647883509997826</v>
      </c>
      <c r="K70" s="31">
        <f t="shared" si="16"/>
        <v>112.09457246712208</v>
      </c>
      <c r="L70" s="31" t="s">
        <v>480</v>
      </c>
      <c r="M70" s="31">
        <f t="shared" ref="M70" si="17">SUM(M71:M73)</f>
        <v>112.89536811667283</v>
      </c>
      <c r="N70" s="31" t="s">
        <v>480</v>
      </c>
      <c r="O70" s="31">
        <f t="shared" ref="O70" si="18">SUM(O71:O73)</f>
        <v>115.58457495699007</v>
      </c>
      <c r="P70" s="31" t="s">
        <v>480</v>
      </c>
      <c r="Q70" s="31">
        <f t="shared" ref="Q70" si="19">SUM(Q71:Q73)</f>
        <v>118.41175244134973</v>
      </c>
      <c r="R70" s="32" t="s">
        <v>480</v>
      </c>
      <c r="S70" s="33">
        <f t="shared" si="1"/>
        <v>346.89169551501266</v>
      </c>
    </row>
    <row r="71" spans="1:19" s="15" customFormat="1" ht="25.5" customHeight="1" x14ac:dyDescent="0.2">
      <c r="A71" s="110" t="s">
        <v>70</v>
      </c>
      <c r="B71" s="111"/>
      <c r="C71" s="115" t="s">
        <v>108</v>
      </c>
      <c r="D71" s="116"/>
      <c r="E71" s="116"/>
      <c r="F71" s="116"/>
      <c r="G71" s="117"/>
      <c r="H71" s="29" t="s">
        <v>3</v>
      </c>
      <c r="I71" s="30">
        <v>0</v>
      </c>
      <c r="J71" s="31">
        <v>0</v>
      </c>
      <c r="K71" s="31">
        <v>0</v>
      </c>
      <c r="L71" s="31" t="s">
        <v>480</v>
      </c>
      <c r="M71" s="31">
        <v>0</v>
      </c>
      <c r="N71" s="31" t="s">
        <v>480</v>
      </c>
      <c r="O71" s="31">
        <v>0</v>
      </c>
      <c r="P71" s="31" t="s">
        <v>480</v>
      </c>
      <c r="Q71" s="31">
        <v>0</v>
      </c>
      <c r="R71" s="32" t="s">
        <v>480</v>
      </c>
      <c r="S71" s="33">
        <f t="shared" si="1"/>
        <v>0</v>
      </c>
    </row>
    <row r="72" spans="1:19" s="15" customFormat="1" ht="25.5" customHeight="1" x14ac:dyDescent="0.2">
      <c r="A72" s="110" t="s">
        <v>71</v>
      </c>
      <c r="B72" s="111"/>
      <c r="C72" s="115" t="s">
        <v>109</v>
      </c>
      <c r="D72" s="116"/>
      <c r="E72" s="116"/>
      <c r="F72" s="116"/>
      <c r="G72" s="117"/>
      <c r="H72" s="29" t="s">
        <v>3</v>
      </c>
      <c r="I72" s="30">
        <v>16.735972590000003</v>
      </c>
      <c r="J72" s="31">
        <v>16.685329330000002</v>
      </c>
      <c r="K72" s="31">
        <f>([1]КБЭ!$BD$63+[1]КБЭ!$BD$64)/1000</f>
        <v>17.438578239999998</v>
      </c>
      <c r="L72" s="31" t="s">
        <v>480</v>
      </c>
      <c r="M72" s="31">
        <f>([1]КБЭ!$CB$63+[1]КБЭ!$CB$64)/1000</f>
        <v>17.602310768511998</v>
      </c>
      <c r="N72" s="31" t="s">
        <v>480</v>
      </c>
      <c r="O72" s="31">
        <f>([1]КБЭ!$CF$63+[1]КБЭ!$CF$64)/1000</f>
        <v>17.767888247274907</v>
      </c>
      <c r="P72" s="31" t="s">
        <v>480</v>
      </c>
      <c r="Q72" s="31">
        <f>([1]КБЭ!$CJ$63+[1]КБЭ!$CJ$64)/1000</f>
        <v>17.935362335850925</v>
      </c>
      <c r="R72" s="32" t="s">
        <v>480</v>
      </c>
      <c r="S72" s="33">
        <f t="shared" si="1"/>
        <v>53.305561351637834</v>
      </c>
    </row>
    <row r="73" spans="1:19" s="15" customFormat="1" ht="25.5" customHeight="1" thickBot="1" x14ac:dyDescent="0.25">
      <c r="A73" s="121" t="s">
        <v>72</v>
      </c>
      <c r="B73" s="122"/>
      <c r="C73" s="123" t="s">
        <v>110</v>
      </c>
      <c r="D73" s="124"/>
      <c r="E73" s="124"/>
      <c r="F73" s="124"/>
      <c r="G73" s="125"/>
      <c r="H73" s="34" t="s">
        <v>3</v>
      </c>
      <c r="I73" s="35">
        <v>89.811752410000736</v>
      </c>
      <c r="J73" s="36">
        <v>76.962554179997824</v>
      </c>
      <c r="K73" s="36">
        <f>([1]КБЭ!$BD$67+[1]КБЭ!$BD$66+[1]КБЭ!$BD$65+[1]КБЭ!$BD$62+[1]КБЭ!$BD$40-[1]КБЭ!$BD$267)/1000</f>
        <v>94.655994227122079</v>
      </c>
      <c r="L73" s="36" t="s">
        <v>480</v>
      </c>
      <c r="M73" s="36">
        <f>([1]КБЭ!$CB$67+[1]КБЭ!$CB$66+[1]КБЭ!$CB$65+[1]КБЭ!$CB$62+[1]КБЭ!$CB$40-[1]КБЭ!$CB$267)/1000</f>
        <v>95.293057348160829</v>
      </c>
      <c r="N73" s="36" t="s">
        <v>480</v>
      </c>
      <c r="O73" s="36">
        <f>([1]КБЭ!$CF$67+[1]КБЭ!$CF$66+[1]КБЭ!$CF$65+[1]КБЭ!$CF$62+[1]КБЭ!$CF$40-[1]КБЭ!$CF$267)/1000</f>
        <v>97.816686709715157</v>
      </c>
      <c r="P73" s="36" t="s">
        <v>480</v>
      </c>
      <c r="Q73" s="36">
        <f>([1]КБЭ!$CJ$67+[1]КБЭ!$CJ$66+[1]КБЭ!$CJ$65+[1]КБЭ!$CJ$62+[1]КБЭ!$CJ$40-[1]КБЭ!$CJ$267)/1000</f>
        <v>100.47639010549881</v>
      </c>
      <c r="R73" s="37" t="s">
        <v>480</v>
      </c>
      <c r="S73" s="38">
        <f t="shared" si="1"/>
        <v>293.58613416337482</v>
      </c>
    </row>
    <row r="74" spans="1:19" s="15" customFormat="1" ht="25.5" customHeight="1" x14ac:dyDescent="0.2">
      <c r="A74" s="183" t="s">
        <v>73</v>
      </c>
      <c r="B74" s="184"/>
      <c r="C74" s="180" t="s">
        <v>111</v>
      </c>
      <c r="D74" s="181"/>
      <c r="E74" s="181"/>
      <c r="F74" s="181"/>
      <c r="G74" s="182"/>
      <c r="H74" s="24" t="s">
        <v>3</v>
      </c>
      <c r="I74" s="25">
        <v>0</v>
      </c>
      <c r="J74" s="26">
        <v>0</v>
      </c>
      <c r="K74" s="26">
        <v>0</v>
      </c>
      <c r="L74" s="26" t="s">
        <v>480</v>
      </c>
      <c r="M74" s="26">
        <v>0</v>
      </c>
      <c r="N74" s="26" t="s">
        <v>480</v>
      </c>
      <c r="O74" s="26">
        <v>0</v>
      </c>
      <c r="P74" s="26" t="s">
        <v>480</v>
      </c>
      <c r="Q74" s="26">
        <v>0</v>
      </c>
      <c r="R74" s="27" t="s">
        <v>480</v>
      </c>
      <c r="S74" s="28">
        <f t="shared" si="1"/>
        <v>0</v>
      </c>
    </row>
    <row r="75" spans="1:19" s="15" customFormat="1" ht="25.5" customHeight="1" x14ac:dyDescent="0.2">
      <c r="A75" s="110" t="s">
        <v>74</v>
      </c>
      <c r="B75" s="111"/>
      <c r="C75" s="115" t="s">
        <v>112</v>
      </c>
      <c r="D75" s="116"/>
      <c r="E75" s="116"/>
      <c r="F75" s="116"/>
      <c r="G75" s="117"/>
      <c r="H75" s="29" t="s">
        <v>3</v>
      </c>
      <c r="I75" s="30">
        <v>0</v>
      </c>
      <c r="J75" s="31">
        <v>0</v>
      </c>
      <c r="K75" s="31">
        <v>0</v>
      </c>
      <c r="L75" s="31" t="s">
        <v>480</v>
      </c>
      <c r="M75" s="31">
        <v>0</v>
      </c>
      <c r="N75" s="31" t="s">
        <v>480</v>
      </c>
      <c r="O75" s="31">
        <v>0</v>
      </c>
      <c r="P75" s="31" t="s">
        <v>480</v>
      </c>
      <c r="Q75" s="31">
        <v>0</v>
      </c>
      <c r="R75" s="32" t="s">
        <v>480</v>
      </c>
      <c r="S75" s="33">
        <f t="shared" si="1"/>
        <v>0</v>
      </c>
    </row>
    <row r="76" spans="1:19" s="15" customFormat="1" ht="25.5" customHeight="1" x14ac:dyDescent="0.2">
      <c r="A76" s="110" t="s">
        <v>75</v>
      </c>
      <c r="B76" s="111"/>
      <c r="C76" s="115" t="s">
        <v>113</v>
      </c>
      <c r="D76" s="116"/>
      <c r="E76" s="116"/>
      <c r="F76" s="116"/>
      <c r="G76" s="117"/>
      <c r="H76" s="29" t="s">
        <v>3</v>
      </c>
      <c r="I76" s="30">
        <v>0</v>
      </c>
      <c r="J76" s="31">
        <v>0</v>
      </c>
      <c r="K76" s="31">
        <v>0</v>
      </c>
      <c r="L76" s="31" t="s">
        <v>480</v>
      </c>
      <c r="M76" s="31">
        <v>0</v>
      </c>
      <c r="N76" s="31" t="s">
        <v>480</v>
      </c>
      <c r="O76" s="31">
        <v>0</v>
      </c>
      <c r="P76" s="31" t="s">
        <v>480</v>
      </c>
      <c r="Q76" s="31">
        <v>0</v>
      </c>
      <c r="R76" s="32" t="s">
        <v>480</v>
      </c>
      <c r="S76" s="33">
        <f t="shared" si="1"/>
        <v>0</v>
      </c>
    </row>
    <row r="77" spans="1:19" s="15" customFormat="1" ht="25.5" customHeight="1" thickBot="1" x14ac:dyDescent="0.25">
      <c r="A77" s="121" t="s">
        <v>76</v>
      </c>
      <c r="B77" s="122"/>
      <c r="C77" s="123" t="s">
        <v>114</v>
      </c>
      <c r="D77" s="124"/>
      <c r="E77" s="124"/>
      <c r="F77" s="124"/>
      <c r="G77" s="125"/>
      <c r="H77" s="39" t="s">
        <v>3</v>
      </c>
      <c r="I77" s="40">
        <v>0</v>
      </c>
      <c r="J77" s="41">
        <v>0</v>
      </c>
      <c r="K77" s="41">
        <v>0</v>
      </c>
      <c r="L77" s="41" t="s">
        <v>480</v>
      </c>
      <c r="M77" s="41">
        <v>0</v>
      </c>
      <c r="N77" s="41" t="s">
        <v>480</v>
      </c>
      <c r="O77" s="41">
        <v>0</v>
      </c>
      <c r="P77" s="41" t="s">
        <v>480</v>
      </c>
      <c r="Q77" s="41">
        <v>0</v>
      </c>
      <c r="R77" s="42" t="s">
        <v>480</v>
      </c>
      <c r="S77" s="43">
        <f t="shared" si="1"/>
        <v>0</v>
      </c>
    </row>
    <row r="78" spans="1:19" s="15" customFormat="1" ht="25.5" customHeight="1" x14ac:dyDescent="0.2">
      <c r="A78" s="183" t="s">
        <v>115</v>
      </c>
      <c r="B78" s="184"/>
      <c r="C78" s="177" t="s">
        <v>116</v>
      </c>
      <c r="D78" s="178"/>
      <c r="E78" s="178"/>
      <c r="F78" s="178"/>
      <c r="G78" s="179"/>
      <c r="H78" s="24" t="s">
        <v>3</v>
      </c>
      <c r="I78" s="25">
        <f>I20-I35</f>
        <v>-130.67656692627043</v>
      </c>
      <c r="J78" s="26">
        <f t="shared" ref="J78:K78" si="20">J20-J35</f>
        <v>49.900008802907905</v>
      </c>
      <c r="K78" s="26">
        <f t="shared" si="20"/>
        <v>18.650547253312652</v>
      </c>
      <c r="L78" s="26" t="s">
        <v>480</v>
      </c>
      <c r="M78" s="26">
        <f t="shared" ref="M78" si="21">M20-M35</f>
        <v>168.05072468084381</v>
      </c>
      <c r="N78" s="26" t="s">
        <v>480</v>
      </c>
      <c r="O78" s="26">
        <f t="shared" ref="O78" si="22">O20-O35</f>
        <v>121.98374663339473</v>
      </c>
      <c r="P78" s="26" t="s">
        <v>480</v>
      </c>
      <c r="Q78" s="26">
        <f t="shared" ref="Q78" si="23">Q20-Q35</f>
        <v>79.283018065654687</v>
      </c>
      <c r="R78" s="27" t="s">
        <v>480</v>
      </c>
      <c r="S78" s="28">
        <f t="shared" si="1"/>
        <v>369.31748937989323</v>
      </c>
    </row>
    <row r="79" spans="1:19" s="15" customFormat="1" ht="25.5" customHeight="1" x14ac:dyDescent="0.2">
      <c r="A79" s="110" t="s">
        <v>117</v>
      </c>
      <c r="B79" s="111"/>
      <c r="C79" s="112" t="s">
        <v>43</v>
      </c>
      <c r="D79" s="113"/>
      <c r="E79" s="113"/>
      <c r="F79" s="113"/>
      <c r="G79" s="114"/>
      <c r="H79" s="29" t="s">
        <v>3</v>
      </c>
      <c r="I79" s="30">
        <v>0</v>
      </c>
      <c r="J79" s="31">
        <v>0</v>
      </c>
      <c r="K79" s="31">
        <v>0</v>
      </c>
      <c r="L79" s="31" t="s">
        <v>480</v>
      </c>
      <c r="M79" s="31">
        <v>0</v>
      </c>
      <c r="N79" s="31" t="s">
        <v>480</v>
      </c>
      <c r="O79" s="31">
        <v>0</v>
      </c>
      <c r="P79" s="31" t="s">
        <v>480</v>
      </c>
      <c r="Q79" s="31">
        <v>0</v>
      </c>
      <c r="R79" s="32" t="s">
        <v>480</v>
      </c>
      <c r="S79" s="33">
        <f t="shared" si="1"/>
        <v>0</v>
      </c>
    </row>
    <row r="80" spans="1:19" s="15" customFormat="1" ht="25.5" customHeight="1" x14ac:dyDescent="0.2">
      <c r="A80" s="110" t="s">
        <v>118</v>
      </c>
      <c r="B80" s="111"/>
      <c r="C80" s="115" t="s">
        <v>44</v>
      </c>
      <c r="D80" s="116"/>
      <c r="E80" s="116"/>
      <c r="F80" s="116"/>
      <c r="G80" s="117"/>
      <c r="H80" s="29" t="s">
        <v>3</v>
      </c>
      <c r="I80" s="30">
        <v>0</v>
      </c>
      <c r="J80" s="31">
        <v>0</v>
      </c>
      <c r="K80" s="31">
        <v>0</v>
      </c>
      <c r="L80" s="31" t="s">
        <v>480</v>
      </c>
      <c r="M80" s="31">
        <v>0</v>
      </c>
      <c r="N80" s="31" t="s">
        <v>480</v>
      </c>
      <c r="O80" s="31">
        <v>0</v>
      </c>
      <c r="P80" s="31" t="s">
        <v>480</v>
      </c>
      <c r="Q80" s="31">
        <v>0</v>
      </c>
      <c r="R80" s="32" t="s">
        <v>480</v>
      </c>
      <c r="S80" s="33">
        <f t="shared" si="1"/>
        <v>0</v>
      </c>
    </row>
    <row r="81" spans="1:19" s="15" customFormat="1" ht="25.5" customHeight="1" x14ac:dyDescent="0.2">
      <c r="A81" s="110" t="s">
        <v>119</v>
      </c>
      <c r="B81" s="111"/>
      <c r="C81" s="115" t="s">
        <v>53</v>
      </c>
      <c r="D81" s="116"/>
      <c r="E81" s="116"/>
      <c r="F81" s="116"/>
      <c r="G81" s="117"/>
      <c r="H81" s="29" t="s">
        <v>3</v>
      </c>
      <c r="I81" s="30">
        <v>0</v>
      </c>
      <c r="J81" s="31">
        <v>0</v>
      </c>
      <c r="K81" s="31">
        <v>0</v>
      </c>
      <c r="L81" s="31" t="s">
        <v>480</v>
      </c>
      <c r="M81" s="31">
        <v>0</v>
      </c>
      <c r="N81" s="31" t="s">
        <v>480</v>
      </c>
      <c r="O81" s="31">
        <v>0</v>
      </c>
      <c r="P81" s="31" t="s">
        <v>480</v>
      </c>
      <c r="Q81" s="31">
        <v>0</v>
      </c>
      <c r="R81" s="32" t="s">
        <v>480</v>
      </c>
      <c r="S81" s="33">
        <f t="shared" si="1"/>
        <v>0</v>
      </c>
    </row>
    <row r="82" spans="1:19" s="15" customFormat="1" ht="25.5" customHeight="1" x14ac:dyDescent="0.2">
      <c r="A82" s="110" t="s">
        <v>120</v>
      </c>
      <c r="B82" s="111"/>
      <c r="C82" s="115" t="s">
        <v>54</v>
      </c>
      <c r="D82" s="116"/>
      <c r="E82" s="116"/>
      <c r="F82" s="116"/>
      <c r="G82" s="117"/>
      <c r="H82" s="29" t="s">
        <v>3</v>
      </c>
      <c r="I82" s="30">
        <v>0</v>
      </c>
      <c r="J82" s="31">
        <v>0</v>
      </c>
      <c r="K82" s="31">
        <v>0</v>
      </c>
      <c r="L82" s="31" t="s">
        <v>480</v>
      </c>
      <c r="M82" s="31">
        <v>0</v>
      </c>
      <c r="N82" s="31" t="s">
        <v>480</v>
      </c>
      <c r="O82" s="31">
        <v>0</v>
      </c>
      <c r="P82" s="31" t="s">
        <v>480</v>
      </c>
      <c r="Q82" s="31">
        <v>0</v>
      </c>
      <c r="R82" s="32" t="s">
        <v>480</v>
      </c>
      <c r="S82" s="33">
        <f t="shared" si="1"/>
        <v>0</v>
      </c>
    </row>
    <row r="83" spans="1:19" s="15" customFormat="1" ht="25.5" customHeight="1" x14ac:dyDescent="0.2">
      <c r="A83" s="110" t="s">
        <v>121</v>
      </c>
      <c r="B83" s="111"/>
      <c r="C83" s="112" t="s">
        <v>55</v>
      </c>
      <c r="D83" s="113"/>
      <c r="E83" s="113"/>
      <c r="F83" s="113"/>
      <c r="G83" s="114"/>
      <c r="H83" s="29" t="s">
        <v>3</v>
      </c>
      <c r="I83" s="30">
        <v>0</v>
      </c>
      <c r="J83" s="31">
        <v>0</v>
      </c>
      <c r="K83" s="31">
        <v>0</v>
      </c>
      <c r="L83" s="31" t="s">
        <v>480</v>
      </c>
      <c r="M83" s="31">
        <v>0</v>
      </c>
      <c r="N83" s="31" t="s">
        <v>480</v>
      </c>
      <c r="O83" s="31">
        <v>0</v>
      </c>
      <c r="P83" s="31" t="s">
        <v>480</v>
      </c>
      <c r="Q83" s="31">
        <v>0</v>
      </c>
      <c r="R83" s="32" t="s">
        <v>480</v>
      </c>
      <c r="S83" s="33">
        <f t="shared" si="1"/>
        <v>0</v>
      </c>
    </row>
    <row r="84" spans="1:19" s="15" customFormat="1" ht="25.5" customHeight="1" x14ac:dyDescent="0.2">
      <c r="A84" s="110" t="s">
        <v>122</v>
      </c>
      <c r="B84" s="111"/>
      <c r="C84" s="112" t="s">
        <v>77</v>
      </c>
      <c r="D84" s="113"/>
      <c r="E84" s="113"/>
      <c r="F84" s="113"/>
      <c r="G84" s="114"/>
      <c r="H84" s="29" t="s">
        <v>3</v>
      </c>
      <c r="I84" s="30">
        <v>0</v>
      </c>
      <c r="J84" s="31">
        <v>0</v>
      </c>
      <c r="K84" s="31">
        <v>0</v>
      </c>
      <c r="L84" s="31" t="s">
        <v>480</v>
      </c>
      <c r="M84" s="31">
        <v>0</v>
      </c>
      <c r="N84" s="31" t="s">
        <v>480</v>
      </c>
      <c r="O84" s="31">
        <v>0</v>
      </c>
      <c r="P84" s="31" t="s">
        <v>480</v>
      </c>
      <c r="Q84" s="31">
        <v>0</v>
      </c>
      <c r="R84" s="32" t="s">
        <v>480</v>
      </c>
      <c r="S84" s="33">
        <f t="shared" ref="S84:S147" si="24">M84+O84+Q84</f>
        <v>0</v>
      </c>
    </row>
    <row r="85" spans="1:19" s="15" customFormat="1" ht="25.5" customHeight="1" x14ac:dyDescent="0.2">
      <c r="A85" s="110" t="s">
        <v>123</v>
      </c>
      <c r="B85" s="111"/>
      <c r="C85" s="112" t="s">
        <v>78</v>
      </c>
      <c r="D85" s="113"/>
      <c r="E85" s="113"/>
      <c r="F85" s="113"/>
      <c r="G85" s="114"/>
      <c r="H85" s="29" t="s">
        <v>3</v>
      </c>
      <c r="I85" s="30">
        <v>0</v>
      </c>
      <c r="J85" s="31">
        <v>0</v>
      </c>
      <c r="K85" s="31">
        <v>0</v>
      </c>
      <c r="L85" s="31" t="s">
        <v>480</v>
      </c>
      <c r="M85" s="31">
        <v>0</v>
      </c>
      <c r="N85" s="31" t="s">
        <v>480</v>
      </c>
      <c r="O85" s="31">
        <v>0</v>
      </c>
      <c r="P85" s="31" t="s">
        <v>480</v>
      </c>
      <c r="Q85" s="31">
        <v>0</v>
      </c>
      <c r="R85" s="32" t="s">
        <v>480</v>
      </c>
      <c r="S85" s="33">
        <f t="shared" si="24"/>
        <v>0</v>
      </c>
    </row>
    <row r="86" spans="1:19" s="15" customFormat="1" ht="25.5" customHeight="1" x14ac:dyDescent="0.2">
      <c r="A86" s="110" t="s">
        <v>124</v>
      </c>
      <c r="B86" s="111"/>
      <c r="C86" s="112" t="s">
        <v>79</v>
      </c>
      <c r="D86" s="113"/>
      <c r="E86" s="113"/>
      <c r="F86" s="113"/>
      <c r="G86" s="114"/>
      <c r="H86" s="29" t="s">
        <v>3</v>
      </c>
      <c r="I86" s="30">
        <v>0</v>
      </c>
      <c r="J86" s="31">
        <v>0</v>
      </c>
      <c r="K86" s="31">
        <v>0</v>
      </c>
      <c r="L86" s="31" t="s">
        <v>480</v>
      </c>
      <c r="M86" s="31">
        <v>0</v>
      </c>
      <c r="N86" s="31" t="s">
        <v>480</v>
      </c>
      <c r="O86" s="31">
        <v>0</v>
      </c>
      <c r="P86" s="31" t="s">
        <v>480</v>
      </c>
      <c r="Q86" s="31">
        <v>0</v>
      </c>
      <c r="R86" s="32" t="s">
        <v>480</v>
      </c>
      <c r="S86" s="33">
        <f t="shared" si="24"/>
        <v>0</v>
      </c>
    </row>
    <row r="87" spans="1:19" s="15" customFormat="1" ht="25.5" customHeight="1" x14ac:dyDescent="0.2">
      <c r="A87" s="110" t="s">
        <v>125</v>
      </c>
      <c r="B87" s="111"/>
      <c r="C87" s="112" t="s">
        <v>80</v>
      </c>
      <c r="D87" s="113"/>
      <c r="E87" s="113"/>
      <c r="F87" s="113"/>
      <c r="G87" s="114"/>
      <c r="H87" s="29" t="s">
        <v>3</v>
      </c>
      <c r="I87" s="30">
        <f>I78-I34</f>
        <v>-133.5727992991518</v>
      </c>
      <c r="J87" s="31">
        <f t="shared" ref="J87" si="25">J78-J34</f>
        <v>46.798767403331638</v>
      </c>
      <c r="K87" s="31">
        <f>K78-K34</f>
        <v>14.890095833300153</v>
      </c>
      <c r="L87" s="31" t="s">
        <v>480</v>
      </c>
      <c r="M87" s="31">
        <f>M78-M34</f>
        <v>164.26812420196745</v>
      </c>
      <c r="N87" s="31" t="s">
        <v>480</v>
      </c>
      <c r="O87" s="31">
        <f>O78-O34</f>
        <v>118.16785927030425</v>
      </c>
      <c r="P87" s="31" t="s">
        <v>480</v>
      </c>
      <c r="Q87" s="31">
        <f>Q78-Q34</f>
        <v>75.433550893769009</v>
      </c>
      <c r="R87" s="32" t="s">
        <v>480</v>
      </c>
      <c r="S87" s="33">
        <f t="shared" si="24"/>
        <v>357.86953436604068</v>
      </c>
    </row>
    <row r="88" spans="1:19" s="15" customFormat="1" ht="25.5" customHeight="1" x14ac:dyDescent="0.2">
      <c r="A88" s="110" t="s">
        <v>126</v>
      </c>
      <c r="B88" s="111"/>
      <c r="C88" s="112" t="s">
        <v>81</v>
      </c>
      <c r="D88" s="113"/>
      <c r="E88" s="113"/>
      <c r="F88" s="113"/>
      <c r="G88" s="114"/>
      <c r="H88" s="29" t="s">
        <v>3</v>
      </c>
      <c r="I88" s="30">
        <v>0</v>
      </c>
      <c r="J88" s="31">
        <v>0</v>
      </c>
      <c r="K88" s="31">
        <v>0</v>
      </c>
      <c r="L88" s="31" t="s">
        <v>480</v>
      </c>
      <c r="M88" s="31">
        <v>0</v>
      </c>
      <c r="N88" s="31" t="s">
        <v>480</v>
      </c>
      <c r="O88" s="31">
        <v>0</v>
      </c>
      <c r="P88" s="31" t="s">
        <v>480</v>
      </c>
      <c r="Q88" s="31">
        <v>0</v>
      </c>
      <c r="R88" s="32" t="s">
        <v>480</v>
      </c>
      <c r="S88" s="33">
        <f t="shared" si="24"/>
        <v>0</v>
      </c>
    </row>
    <row r="89" spans="1:19" s="15" customFormat="1" ht="25.5" customHeight="1" x14ac:dyDescent="0.2">
      <c r="A89" s="110" t="s">
        <v>127</v>
      </c>
      <c r="B89" s="111"/>
      <c r="C89" s="112" t="s">
        <v>82</v>
      </c>
      <c r="D89" s="113"/>
      <c r="E89" s="113"/>
      <c r="F89" s="113"/>
      <c r="G89" s="114"/>
      <c r="H89" s="29" t="s">
        <v>3</v>
      </c>
      <c r="I89" s="30">
        <v>0</v>
      </c>
      <c r="J89" s="31">
        <v>0</v>
      </c>
      <c r="K89" s="31">
        <v>0</v>
      </c>
      <c r="L89" s="31" t="s">
        <v>480</v>
      </c>
      <c r="M89" s="31">
        <v>0</v>
      </c>
      <c r="N89" s="31" t="s">
        <v>480</v>
      </c>
      <c r="O89" s="31">
        <v>0</v>
      </c>
      <c r="P89" s="31" t="s">
        <v>480</v>
      </c>
      <c r="Q89" s="31">
        <v>0</v>
      </c>
      <c r="R89" s="32" t="s">
        <v>480</v>
      </c>
      <c r="S89" s="33">
        <f t="shared" si="24"/>
        <v>0</v>
      </c>
    </row>
    <row r="90" spans="1:19" s="15" customFormat="1" ht="25.5" customHeight="1" x14ac:dyDescent="0.2">
      <c r="A90" s="110" t="s">
        <v>128</v>
      </c>
      <c r="B90" s="111"/>
      <c r="C90" s="115" t="s">
        <v>83</v>
      </c>
      <c r="D90" s="116"/>
      <c r="E90" s="116"/>
      <c r="F90" s="116"/>
      <c r="G90" s="117"/>
      <c r="H90" s="29" t="s">
        <v>3</v>
      </c>
      <c r="I90" s="30">
        <v>0</v>
      </c>
      <c r="J90" s="31">
        <v>0</v>
      </c>
      <c r="K90" s="31">
        <v>0</v>
      </c>
      <c r="L90" s="31" t="s">
        <v>480</v>
      </c>
      <c r="M90" s="31">
        <v>0</v>
      </c>
      <c r="N90" s="31" t="s">
        <v>480</v>
      </c>
      <c r="O90" s="31">
        <v>0</v>
      </c>
      <c r="P90" s="31" t="s">
        <v>480</v>
      </c>
      <c r="Q90" s="31">
        <v>0</v>
      </c>
      <c r="R90" s="32" t="s">
        <v>480</v>
      </c>
      <c r="S90" s="33">
        <f t="shared" si="24"/>
        <v>0</v>
      </c>
    </row>
    <row r="91" spans="1:19" s="15" customFormat="1" ht="25.5" customHeight="1" x14ac:dyDescent="0.2">
      <c r="A91" s="110" t="s">
        <v>129</v>
      </c>
      <c r="B91" s="111"/>
      <c r="C91" s="115" t="s">
        <v>84</v>
      </c>
      <c r="D91" s="116"/>
      <c r="E91" s="116"/>
      <c r="F91" s="116"/>
      <c r="G91" s="117"/>
      <c r="H91" s="29" t="s">
        <v>3</v>
      </c>
      <c r="I91" s="30">
        <v>0</v>
      </c>
      <c r="J91" s="31">
        <v>0</v>
      </c>
      <c r="K91" s="31">
        <v>0</v>
      </c>
      <c r="L91" s="31" t="s">
        <v>480</v>
      </c>
      <c r="M91" s="31">
        <v>0</v>
      </c>
      <c r="N91" s="31" t="s">
        <v>480</v>
      </c>
      <c r="O91" s="31">
        <v>0</v>
      </c>
      <c r="P91" s="31" t="s">
        <v>480</v>
      </c>
      <c r="Q91" s="31">
        <v>0</v>
      </c>
      <c r="R91" s="32" t="s">
        <v>480</v>
      </c>
      <c r="S91" s="33">
        <f t="shared" si="24"/>
        <v>0</v>
      </c>
    </row>
    <row r="92" spans="1:19" s="15" customFormat="1" ht="25.5" customHeight="1" x14ac:dyDescent="0.2">
      <c r="A92" s="110" t="s">
        <v>130</v>
      </c>
      <c r="B92" s="111"/>
      <c r="C92" s="112" t="s">
        <v>85</v>
      </c>
      <c r="D92" s="113"/>
      <c r="E92" s="113"/>
      <c r="F92" s="113"/>
      <c r="G92" s="114"/>
      <c r="H92" s="29" t="s">
        <v>3</v>
      </c>
      <c r="I92" s="30">
        <f>I78-I87</f>
        <v>2.8962323728813715</v>
      </c>
      <c r="J92" s="31">
        <f t="shared" ref="J92:K92" si="26">J78-J87</f>
        <v>3.1012413995762671</v>
      </c>
      <c r="K92" s="31">
        <f t="shared" si="26"/>
        <v>3.7604514200124992</v>
      </c>
      <c r="L92" s="31" t="s">
        <v>480</v>
      </c>
      <c r="M92" s="31">
        <f t="shared" ref="M92" si="27">M78-M87</f>
        <v>3.7826004788763612</v>
      </c>
      <c r="N92" s="31" t="s">
        <v>480</v>
      </c>
      <c r="O92" s="31">
        <f t="shared" ref="O92" si="28">O78-O87</f>
        <v>3.8158873630904822</v>
      </c>
      <c r="P92" s="31" t="s">
        <v>480</v>
      </c>
      <c r="Q92" s="31">
        <f t="shared" ref="Q92" si="29">Q78-Q87</f>
        <v>3.8494671718856779</v>
      </c>
      <c r="R92" s="32" t="s">
        <v>480</v>
      </c>
      <c r="S92" s="33">
        <f t="shared" si="24"/>
        <v>11.447955013852521</v>
      </c>
    </row>
    <row r="93" spans="1:19" s="15" customFormat="1" ht="25.5" customHeight="1" x14ac:dyDescent="0.2">
      <c r="A93" s="110" t="s">
        <v>131</v>
      </c>
      <c r="B93" s="111"/>
      <c r="C93" s="118" t="s">
        <v>145</v>
      </c>
      <c r="D93" s="119"/>
      <c r="E93" s="119"/>
      <c r="F93" s="119"/>
      <c r="G93" s="120"/>
      <c r="H93" s="29" t="s">
        <v>3</v>
      </c>
      <c r="I93" s="30">
        <f>I94-I100</f>
        <v>-592.83500000000004</v>
      </c>
      <c r="J93" s="31">
        <f t="shared" ref="J93:K93" si="30">J94-J100</f>
        <v>-897.20600000000002</v>
      </c>
      <c r="K93" s="31">
        <f t="shared" si="30"/>
        <v>-341.84947552501671</v>
      </c>
      <c r="L93" s="31" t="s">
        <v>480</v>
      </c>
      <c r="M93" s="31">
        <f t="shared" ref="M93" si="31">M94-M100</f>
        <v>-69.238202805843486</v>
      </c>
      <c r="N93" s="31" t="s">
        <v>480</v>
      </c>
      <c r="O93" s="31">
        <f t="shared" ref="O93" si="32">O94-O100</f>
        <v>-56.653474383395533</v>
      </c>
      <c r="P93" s="31" t="s">
        <v>480</v>
      </c>
      <c r="Q93" s="31">
        <f t="shared" ref="Q93" si="33">Q94-Q100</f>
        <v>-14.011423065655777</v>
      </c>
      <c r="R93" s="32" t="s">
        <v>480</v>
      </c>
      <c r="S93" s="33">
        <f t="shared" si="24"/>
        <v>-139.90310025489481</v>
      </c>
    </row>
    <row r="94" spans="1:19" s="15" customFormat="1" ht="25.5" customHeight="1" x14ac:dyDescent="0.2">
      <c r="A94" s="110" t="s">
        <v>132</v>
      </c>
      <c r="B94" s="111"/>
      <c r="C94" s="112" t="s">
        <v>146</v>
      </c>
      <c r="D94" s="113"/>
      <c r="E94" s="113"/>
      <c r="F94" s="113"/>
      <c r="G94" s="114"/>
      <c r="H94" s="29" t="s">
        <v>3</v>
      </c>
      <c r="I94" s="30">
        <f>I95+I96+I97+I99</f>
        <v>170.18899999999999</v>
      </c>
      <c r="J94" s="44">
        <f>J95+J96+J97+J99</f>
        <v>107.812</v>
      </c>
      <c r="K94" s="31">
        <f t="shared" ref="K94" si="34">K95+K96+K97+K99</f>
        <v>52.716999999999999</v>
      </c>
      <c r="L94" s="31" t="s">
        <v>480</v>
      </c>
      <c r="M94" s="31">
        <f t="shared" ref="M94" si="35">M95+M96+M97+M99</f>
        <v>54.370382849999999</v>
      </c>
      <c r="N94" s="31" t="s">
        <v>480</v>
      </c>
      <c r="O94" s="31">
        <f t="shared" ref="O94" si="36">O95+O96+O97+O99</f>
        <v>56.118158219080001</v>
      </c>
      <c r="P94" s="31" t="s">
        <v>480</v>
      </c>
      <c r="Q94" s="31">
        <f t="shared" ref="Q94" si="37">Q95+Q96+Q97+Q99</f>
        <v>57.935826651407908</v>
      </c>
      <c r="R94" s="32" t="s">
        <v>480</v>
      </c>
      <c r="S94" s="33">
        <f t="shared" si="24"/>
        <v>168.42436772048791</v>
      </c>
    </row>
    <row r="95" spans="1:19" s="15" customFormat="1" ht="25.5" customHeight="1" x14ac:dyDescent="0.2">
      <c r="A95" s="110" t="s">
        <v>133</v>
      </c>
      <c r="B95" s="111"/>
      <c r="C95" s="115" t="s">
        <v>147</v>
      </c>
      <c r="D95" s="116"/>
      <c r="E95" s="116"/>
      <c r="F95" s="116"/>
      <c r="G95" s="117"/>
      <c r="H95" s="29" t="s">
        <v>3</v>
      </c>
      <c r="I95" s="30">
        <v>0</v>
      </c>
      <c r="J95" s="31">
        <v>0</v>
      </c>
      <c r="K95" s="31">
        <v>0</v>
      </c>
      <c r="L95" s="31" t="s">
        <v>480</v>
      </c>
      <c r="M95" s="31">
        <v>0</v>
      </c>
      <c r="N95" s="31" t="s">
        <v>480</v>
      </c>
      <c r="O95" s="31">
        <v>0</v>
      </c>
      <c r="P95" s="31" t="s">
        <v>480</v>
      </c>
      <c r="Q95" s="31">
        <v>0</v>
      </c>
      <c r="R95" s="32" t="s">
        <v>480</v>
      </c>
      <c r="S95" s="33">
        <f t="shared" si="24"/>
        <v>0</v>
      </c>
    </row>
    <row r="96" spans="1:19" s="15" customFormat="1" ht="25.5" customHeight="1" x14ac:dyDescent="0.2">
      <c r="A96" s="110" t="s">
        <v>134</v>
      </c>
      <c r="B96" s="111"/>
      <c r="C96" s="115" t="s">
        <v>148</v>
      </c>
      <c r="D96" s="116"/>
      <c r="E96" s="116"/>
      <c r="F96" s="116"/>
      <c r="G96" s="117"/>
      <c r="H96" s="29" t="s">
        <v>3</v>
      </c>
      <c r="I96" s="30">
        <v>3.0470000000000002</v>
      </c>
      <c r="J96" s="31">
        <v>0.56699999999999995</v>
      </c>
      <c r="K96" s="31">
        <v>0</v>
      </c>
      <c r="L96" s="31" t="s">
        <v>480</v>
      </c>
      <c r="M96" s="31">
        <v>0</v>
      </c>
      <c r="N96" s="31" t="s">
        <v>480</v>
      </c>
      <c r="O96" s="31">
        <v>0</v>
      </c>
      <c r="P96" s="31" t="s">
        <v>480</v>
      </c>
      <c r="Q96" s="31">
        <v>0</v>
      </c>
      <c r="R96" s="32" t="s">
        <v>480</v>
      </c>
      <c r="S96" s="33">
        <f t="shared" si="24"/>
        <v>0</v>
      </c>
    </row>
    <row r="97" spans="1:19" s="15" customFormat="1" ht="25.5" customHeight="1" x14ac:dyDescent="0.2">
      <c r="A97" s="110" t="s">
        <v>135</v>
      </c>
      <c r="B97" s="111"/>
      <c r="C97" s="115" t="s">
        <v>149</v>
      </c>
      <c r="D97" s="116"/>
      <c r="E97" s="116"/>
      <c r="F97" s="116"/>
      <c r="G97" s="117"/>
      <c r="H97" s="29" t="s">
        <v>3</v>
      </c>
      <c r="I97" s="30">
        <f>I98+46.023</f>
        <v>124.928</v>
      </c>
      <c r="J97" s="31">
        <f>J98+2.557+6.194+3.195</f>
        <v>65.388999999999996</v>
      </c>
      <c r="K97" s="31">
        <f>K98</f>
        <v>42</v>
      </c>
      <c r="L97" s="31" t="s">
        <v>480</v>
      </c>
      <c r="M97" s="31">
        <f>M98</f>
        <v>43.68</v>
      </c>
      <c r="N97" s="31" t="s">
        <v>480</v>
      </c>
      <c r="O97" s="31">
        <f>O98</f>
        <v>45.427200000000006</v>
      </c>
      <c r="P97" s="31" t="s">
        <v>480</v>
      </c>
      <c r="Q97" s="31">
        <f>Q98</f>
        <v>47.244288000000005</v>
      </c>
      <c r="R97" s="32" t="s">
        <v>480</v>
      </c>
      <c r="S97" s="33">
        <f t="shared" si="24"/>
        <v>136.35148800000002</v>
      </c>
    </row>
    <row r="98" spans="1:19" s="15" customFormat="1" ht="25.5" customHeight="1" x14ac:dyDescent="0.2">
      <c r="A98" s="110" t="s">
        <v>136</v>
      </c>
      <c r="B98" s="111"/>
      <c r="C98" s="107" t="s">
        <v>150</v>
      </c>
      <c r="D98" s="108"/>
      <c r="E98" s="108"/>
      <c r="F98" s="108"/>
      <c r="G98" s="109"/>
      <c r="H98" s="29" t="s">
        <v>3</v>
      </c>
      <c r="I98" s="30">
        <v>78.905000000000001</v>
      </c>
      <c r="J98" s="31">
        <v>53.442999999999998</v>
      </c>
      <c r="K98" s="31">
        <f>[1]КБЭ!$BD$79/1000</f>
        <v>42</v>
      </c>
      <c r="L98" s="31" t="s">
        <v>480</v>
      </c>
      <c r="M98" s="31">
        <f>[1]КБЭ!$CB$79/1000</f>
        <v>43.68</v>
      </c>
      <c r="N98" s="31" t="s">
        <v>480</v>
      </c>
      <c r="O98" s="31">
        <f>[1]КБЭ!$CF$79/1000</f>
        <v>45.427200000000006</v>
      </c>
      <c r="P98" s="31" t="s">
        <v>480</v>
      </c>
      <c r="Q98" s="31">
        <f>[1]КБЭ!$CJ$79/1000</f>
        <v>47.244288000000005</v>
      </c>
      <c r="R98" s="32" t="s">
        <v>480</v>
      </c>
      <c r="S98" s="33">
        <f t="shared" si="24"/>
        <v>136.35148800000002</v>
      </c>
    </row>
    <row r="99" spans="1:19" s="15" customFormat="1" ht="25.5" customHeight="1" x14ac:dyDescent="0.2">
      <c r="A99" s="110" t="s">
        <v>137</v>
      </c>
      <c r="B99" s="111"/>
      <c r="C99" s="115" t="s">
        <v>151</v>
      </c>
      <c r="D99" s="116"/>
      <c r="E99" s="116"/>
      <c r="F99" s="116"/>
      <c r="G99" s="117"/>
      <c r="H99" s="29" t="s">
        <v>3</v>
      </c>
      <c r="I99" s="30">
        <f>167.142+3.047-I95-I96-I97</f>
        <v>42.213999999999999</v>
      </c>
      <c r="J99" s="31">
        <f>107.245-J97</f>
        <v>41.856000000000009</v>
      </c>
      <c r="K99" s="31">
        <f>[1]КБЭ!$BD$81/1000</f>
        <v>10.717000000000001</v>
      </c>
      <c r="L99" s="31" t="s">
        <v>480</v>
      </c>
      <c r="M99" s="31">
        <f>[1]КБЭ!$CB$81/1000</f>
        <v>10.690382850000001</v>
      </c>
      <c r="N99" s="31" t="s">
        <v>480</v>
      </c>
      <c r="O99" s="31">
        <f>[1]КБЭ!$CF$81/1000</f>
        <v>10.690958219079999</v>
      </c>
      <c r="P99" s="31" t="s">
        <v>480</v>
      </c>
      <c r="Q99" s="31">
        <f>[1]КБЭ!$CJ$81/1000</f>
        <v>10.691538651407903</v>
      </c>
      <c r="R99" s="32" t="s">
        <v>480</v>
      </c>
      <c r="S99" s="33">
        <f t="shared" si="24"/>
        <v>32.072879720487904</v>
      </c>
    </row>
    <row r="100" spans="1:19" s="15" customFormat="1" ht="25.5" customHeight="1" x14ac:dyDescent="0.2">
      <c r="A100" s="110" t="s">
        <v>138</v>
      </c>
      <c r="B100" s="111"/>
      <c r="C100" s="112" t="s">
        <v>107</v>
      </c>
      <c r="D100" s="113"/>
      <c r="E100" s="113"/>
      <c r="F100" s="113"/>
      <c r="G100" s="114"/>
      <c r="H100" s="29" t="s">
        <v>3</v>
      </c>
      <c r="I100" s="30">
        <f>I101+I102+I103+I105</f>
        <v>763.024</v>
      </c>
      <c r="J100" s="31">
        <f>J101+J102+J103+J105</f>
        <v>1005.018</v>
      </c>
      <c r="K100" s="31">
        <f t="shared" ref="K100" si="38">K101+K102+K103+K105</f>
        <v>394.5664755250167</v>
      </c>
      <c r="L100" s="31" t="s">
        <v>480</v>
      </c>
      <c r="M100" s="31">
        <f t="shared" ref="M100" si="39">M101+M102+M103+M105</f>
        <v>123.60858565584348</v>
      </c>
      <c r="N100" s="31" t="s">
        <v>480</v>
      </c>
      <c r="O100" s="31">
        <f t="shared" ref="O100" si="40">O101+O102+O103+O105</f>
        <v>112.77163260247553</v>
      </c>
      <c r="P100" s="31" t="s">
        <v>480</v>
      </c>
      <c r="Q100" s="31">
        <f t="shared" ref="Q100" si="41">Q101+Q102+Q103+Q105</f>
        <v>71.947249717063684</v>
      </c>
      <c r="R100" s="32" t="s">
        <v>480</v>
      </c>
      <c r="S100" s="33">
        <f t="shared" si="24"/>
        <v>308.32746797538272</v>
      </c>
    </row>
    <row r="101" spans="1:19" s="15" customFormat="1" ht="25.5" customHeight="1" x14ac:dyDescent="0.2">
      <c r="A101" s="110" t="s">
        <v>139</v>
      </c>
      <c r="B101" s="111"/>
      <c r="C101" s="115" t="s">
        <v>152</v>
      </c>
      <c r="D101" s="116"/>
      <c r="E101" s="116"/>
      <c r="F101" s="116"/>
      <c r="G101" s="117"/>
      <c r="H101" s="29" t="s">
        <v>3</v>
      </c>
      <c r="I101" s="30">
        <v>2.3542706700000005</v>
      </c>
      <c r="J101" s="31">
        <v>2.36889488</v>
      </c>
      <c r="K101" s="31">
        <f>([1]КБЭ!$BD$84+[1]КБЭ!$BD$85)/1000</f>
        <v>2.0627860107513007</v>
      </c>
      <c r="L101" s="31" t="s">
        <v>480</v>
      </c>
      <c r="M101" s="31">
        <f>([1]КБЭ!$CB$84+[1]КБЭ!$CB$85)/1000</f>
        <v>2.139109093149099</v>
      </c>
      <c r="N101" s="31" t="s">
        <v>480</v>
      </c>
      <c r="O101" s="31">
        <f>([1]КБЭ!$CF$84+[1]КБЭ!$CF$85)/1000</f>
        <v>2.2246734568750628</v>
      </c>
      <c r="P101" s="31" t="s">
        <v>480</v>
      </c>
      <c r="Q101" s="31">
        <f>([1]КБЭ!$CJ$84+[1]КБЭ!$CJ$85)/1000</f>
        <v>2.3136603951500656</v>
      </c>
      <c r="R101" s="32" t="s">
        <v>480</v>
      </c>
      <c r="S101" s="33">
        <f t="shared" si="24"/>
        <v>6.6774429451742279</v>
      </c>
    </row>
    <row r="102" spans="1:19" s="15" customFormat="1" ht="25.5" customHeight="1" x14ac:dyDescent="0.2">
      <c r="A102" s="110" t="s">
        <v>140</v>
      </c>
      <c r="B102" s="111"/>
      <c r="C102" s="115" t="s">
        <v>153</v>
      </c>
      <c r="D102" s="116"/>
      <c r="E102" s="116"/>
      <c r="F102" s="116"/>
      <c r="G102" s="117"/>
      <c r="H102" s="29" t="s">
        <v>3</v>
      </c>
      <c r="I102" s="30">
        <v>17.675000000000001</v>
      </c>
      <c r="J102" s="31">
        <v>0</v>
      </c>
      <c r="K102" s="31">
        <f>[1]КБЭ!$BD$83/1000</f>
        <v>31.01020660768118</v>
      </c>
      <c r="L102" s="31" t="s">
        <v>480</v>
      </c>
      <c r="M102" s="31">
        <f>[1]КБЭ!$CB$83/1000</f>
        <v>39.724326993366311</v>
      </c>
      <c r="N102" s="31" t="s">
        <v>480</v>
      </c>
      <c r="O102" s="31">
        <f>[1]КБЭ!$CF$83/1000</f>
        <v>28.101254168412403</v>
      </c>
      <c r="P102" s="31" t="s">
        <v>480</v>
      </c>
      <c r="Q102" s="31">
        <f>[1]КБЭ!$CJ$83/1000</f>
        <v>16.478181343458498</v>
      </c>
      <c r="R102" s="32" t="s">
        <v>480</v>
      </c>
      <c r="S102" s="33">
        <f t="shared" si="24"/>
        <v>84.303762505237216</v>
      </c>
    </row>
    <row r="103" spans="1:19" s="15" customFormat="1" ht="25.5" customHeight="1" x14ac:dyDescent="0.2">
      <c r="A103" s="110" t="s">
        <v>141</v>
      </c>
      <c r="B103" s="111"/>
      <c r="C103" s="115" t="s">
        <v>154</v>
      </c>
      <c r="D103" s="116"/>
      <c r="E103" s="116"/>
      <c r="F103" s="116"/>
      <c r="G103" s="117"/>
      <c r="H103" s="29" t="s">
        <v>3</v>
      </c>
      <c r="I103" s="30">
        <f>404.346+153.536</f>
        <v>557.88200000000006</v>
      </c>
      <c r="J103" s="31">
        <f>710.64+0.288+29.24</f>
        <v>740.16800000000001</v>
      </c>
      <c r="K103" s="31">
        <f>[1]КБЭ!$BD$88/1000</f>
        <v>320.05308742539938</v>
      </c>
      <c r="L103" s="31" t="s">
        <v>480</v>
      </c>
      <c r="M103" s="31">
        <f>[1]КБЭ!$CB$88/1000</f>
        <v>0</v>
      </c>
      <c r="N103" s="31" t="s">
        <v>480</v>
      </c>
      <c r="O103" s="31">
        <f>[1]КБЭ!$CF$88/1000</f>
        <v>0</v>
      </c>
      <c r="P103" s="31" t="s">
        <v>480</v>
      </c>
      <c r="Q103" s="31">
        <f>[1]КБЭ!$CJ$88/1000</f>
        <v>0</v>
      </c>
      <c r="R103" s="32" t="s">
        <v>480</v>
      </c>
      <c r="S103" s="33">
        <f t="shared" si="24"/>
        <v>0</v>
      </c>
    </row>
    <row r="104" spans="1:19" s="15" customFormat="1" ht="25.5" customHeight="1" x14ac:dyDescent="0.2">
      <c r="A104" s="110" t="s">
        <v>142</v>
      </c>
      <c r="B104" s="111"/>
      <c r="C104" s="107" t="s">
        <v>150</v>
      </c>
      <c r="D104" s="108"/>
      <c r="E104" s="108"/>
      <c r="F104" s="108"/>
      <c r="G104" s="109"/>
      <c r="H104" s="29" t="s">
        <v>3</v>
      </c>
      <c r="I104" s="30">
        <v>404.346</v>
      </c>
      <c r="J104" s="31">
        <v>710.64</v>
      </c>
      <c r="K104" s="31">
        <f>[1]КБЭ!$BD$88/1000</f>
        <v>320.05308742539938</v>
      </c>
      <c r="L104" s="31" t="s">
        <v>480</v>
      </c>
      <c r="M104" s="31">
        <f>[1]КБЭ!$CB$88/1000</f>
        <v>0</v>
      </c>
      <c r="N104" s="31" t="s">
        <v>480</v>
      </c>
      <c r="O104" s="31">
        <f>[1]КБЭ!$CF$88/1000</f>
        <v>0</v>
      </c>
      <c r="P104" s="31" t="s">
        <v>480</v>
      </c>
      <c r="Q104" s="31">
        <f>[1]КБЭ!$CJ$88/1000</f>
        <v>0</v>
      </c>
      <c r="R104" s="32" t="s">
        <v>480</v>
      </c>
      <c r="S104" s="33">
        <f t="shared" si="24"/>
        <v>0</v>
      </c>
    </row>
    <row r="105" spans="1:19" s="15" customFormat="1" ht="25.5" customHeight="1" x14ac:dyDescent="0.2">
      <c r="A105" s="110" t="s">
        <v>143</v>
      </c>
      <c r="B105" s="111"/>
      <c r="C105" s="115" t="s">
        <v>155</v>
      </c>
      <c r="D105" s="116"/>
      <c r="E105" s="116"/>
      <c r="F105" s="116"/>
      <c r="G105" s="117"/>
      <c r="H105" s="29" t="s">
        <v>3</v>
      </c>
      <c r="I105" s="45">
        <f>745.349-I103-I101</f>
        <v>185.11272932999998</v>
      </c>
      <c r="J105" s="31">
        <f>1005.018-J103-J101</f>
        <v>262.48110512</v>
      </c>
      <c r="K105" s="31">
        <f>([1]КБЭ!$BD$86+[1]КБЭ!$BD$87+[1]КБЭ!$BD$89+[1]КБЭ!$BD$90)/1000</f>
        <v>41.440395481184879</v>
      </c>
      <c r="L105" s="31" t="s">
        <v>480</v>
      </c>
      <c r="M105" s="31">
        <f>([1]КБЭ!$CB$86+[1]КБЭ!$CB$87+[1]КБЭ!$CB$89+[1]КБЭ!$CB$90)/1000</f>
        <v>81.745149569328063</v>
      </c>
      <c r="N105" s="31" t="s">
        <v>480</v>
      </c>
      <c r="O105" s="31">
        <f>([1]КБЭ!$CF$86+[1]КБЭ!$CF$87+[1]КБЭ!$CF$89+[1]КБЭ!$CF$90)/1000</f>
        <v>82.445704977188072</v>
      </c>
      <c r="P105" s="31" t="s">
        <v>480</v>
      </c>
      <c r="Q105" s="31">
        <f>([1]КБЭ!$CJ$86+[1]КБЭ!$CJ$87+[1]КБЭ!$CJ$89+[1]КБЭ!$CJ$90)/1000</f>
        <v>53.155407978455116</v>
      </c>
      <c r="R105" s="32" t="s">
        <v>480</v>
      </c>
      <c r="S105" s="33">
        <f t="shared" si="24"/>
        <v>217.34626252497125</v>
      </c>
    </row>
    <row r="106" spans="1:19" s="15" customFormat="1" ht="25.5" customHeight="1" x14ac:dyDescent="0.2">
      <c r="A106" s="110" t="s">
        <v>144</v>
      </c>
      <c r="B106" s="111"/>
      <c r="C106" s="118" t="s">
        <v>156</v>
      </c>
      <c r="D106" s="119"/>
      <c r="E106" s="119"/>
      <c r="F106" s="119"/>
      <c r="G106" s="120"/>
      <c r="H106" s="29" t="s">
        <v>3</v>
      </c>
      <c r="I106" s="30">
        <f>I78+I94-I100</f>
        <v>-723.51156692627046</v>
      </c>
      <c r="J106" s="31">
        <f>J78+J94-J100</f>
        <v>-847.30599119709211</v>
      </c>
      <c r="K106" s="31">
        <f t="shared" ref="K106" si="42">K78+K94-K100</f>
        <v>-323.19892827170406</v>
      </c>
      <c r="L106" s="31" t="s">
        <v>480</v>
      </c>
      <c r="M106" s="31">
        <f>M78+M94-M100</f>
        <v>98.812521875000328</v>
      </c>
      <c r="N106" s="31" t="s">
        <v>480</v>
      </c>
      <c r="O106" s="31">
        <f t="shared" ref="O106" si="43">O78+O94-O100</f>
        <v>65.330272249999183</v>
      </c>
      <c r="P106" s="31" t="s">
        <v>480</v>
      </c>
      <c r="Q106" s="31">
        <f t="shared" ref="Q106" si="44">Q78+Q94-Q100</f>
        <v>65.271594999998925</v>
      </c>
      <c r="R106" s="32" t="s">
        <v>480</v>
      </c>
      <c r="S106" s="33">
        <f t="shared" si="24"/>
        <v>229.41438912499842</v>
      </c>
    </row>
    <row r="107" spans="1:19" s="15" customFormat="1" ht="25.5" customHeight="1" x14ac:dyDescent="0.2">
      <c r="A107" s="110" t="s">
        <v>157</v>
      </c>
      <c r="B107" s="111"/>
      <c r="C107" s="112" t="s">
        <v>158</v>
      </c>
      <c r="D107" s="113"/>
      <c r="E107" s="113"/>
      <c r="F107" s="113"/>
      <c r="G107" s="114"/>
      <c r="H107" s="29" t="s">
        <v>3</v>
      </c>
      <c r="I107" s="30">
        <v>0</v>
      </c>
      <c r="J107" s="31">
        <v>0</v>
      </c>
      <c r="K107" s="31">
        <v>0</v>
      </c>
      <c r="L107" s="31" t="s">
        <v>480</v>
      </c>
      <c r="M107" s="31">
        <v>0</v>
      </c>
      <c r="N107" s="31" t="s">
        <v>480</v>
      </c>
      <c r="O107" s="31">
        <v>0</v>
      </c>
      <c r="P107" s="31" t="s">
        <v>480</v>
      </c>
      <c r="Q107" s="31">
        <v>0</v>
      </c>
      <c r="R107" s="32" t="s">
        <v>480</v>
      </c>
      <c r="S107" s="33">
        <f t="shared" si="24"/>
        <v>0</v>
      </c>
    </row>
    <row r="108" spans="1:19" s="15" customFormat="1" ht="25.5" customHeight="1" x14ac:dyDescent="0.2">
      <c r="A108" s="110" t="s">
        <v>159</v>
      </c>
      <c r="B108" s="111"/>
      <c r="C108" s="115" t="s">
        <v>44</v>
      </c>
      <c r="D108" s="116"/>
      <c r="E108" s="116"/>
      <c r="F108" s="116"/>
      <c r="G108" s="117"/>
      <c r="H108" s="29" t="s">
        <v>3</v>
      </c>
      <c r="I108" s="30">
        <v>0</v>
      </c>
      <c r="J108" s="31">
        <v>0</v>
      </c>
      <c r="K108" s="31">
        <v>0</v>
      </c>
      <c r="L108" s="31" t="s">
        <v>480</v>
      </c>
      <c r="M108" s="31">
        <v>0</v>
      </c>
      <c r="N108" s="31" t="s">
        <v>480</v>
      </c>
      <c r="O108" s="31">
        <v>0</v>
      </c>
      <c r="P108" s="31" t="s">
        <v>480</v>
      </c>
      <c r="Q108" s="31">
        <v>0</v>
      </c>
      <c r="R108" s="32" t="s">
        <v>480</v>
      </c>
      <c r="S108" s="33">
        <f t="shared" si="24"/>
        <v>0</v>
      </c>
    </row>
    <row r="109" spans="1:19" s="15" customFormat="1" ht="25.5" customHeight="1" x14ac:dyDescent="0.2">
      <c r="A109" s="110" t="s">
        <v>160</v>
      </c>
      <c r="B109" s="111"/>
      <c r="C109" s="115" t="s">
        <v>53</v>
      </c>
      <c r="D109" s="116"/>
      <c r="E109" s="116"/>
      <c r="F109" s="116"/>
      <c r="G109" s="117"/>
      <c r="H109" s="29" t="s">
        <v>3</v>
      </c>
      <c r="I109" s="30">
        <v>0</v>
      </c>
      <c r="J109" s="31">
        <v>0</v>
      </c>
      <c r="K109" s="31">
        <v>0</v>
      </c>
      <c r="L109" s="31" t="s">
        <v>480</v>
      </c>
      <c r="M109" s="31">
        <v>0</v>
      </c>
      <c r="N109" s="31" t="s">
        <v>480</v>
      </c>
      <c r="O109" s="31">
        <v>0</v>
      </c>
      <c r="P109" s="31" t="s">
        <v>480</v>
      </c>
      <c r="Q109" s="31">
        <v>0</v>
      </c>
      <c r="R109" s="32" t="s">
        <v>480</v>
      </c>
      <c r="S109" s="33">
        <f t="shared" si="24"/>
        <v>0</v>
      </c>
    </row>
    <row r="110" spans="1:19" s="15" customFormat="1" ht="33.75" customHeight="1" x14ac:dyDescent="0.2">
      <c r="A110" s="110" t="s">
        <v>161</v>
      </c>
      <c r="B110" s="111"/>
      <c r="C110" s="115" t="s">
        <v>54</v>
      </c>
      <c r="D110" s="116"/>
      <c r="E110" s="116"/>
      <c r="F110" s="116"/>
      <c r="G110" s="117"/>
      <c r="H110" s="29" t="s">
        <v>3</v>
      </c>
      <c r="I110" s="30">
        <v>0</v>
      </c>
      <c r="J110" s="31">
        <v>0</v>
      </c>
      <c r="K110" s="31">
        <v>0</v>
      </c>
      <c r="L110" s="31" t="s">
        <v>480</v>
      </c>
      <c r="M110" s="31">
        <v>0</v>
      </c>
      <c r="N110" s="31" t="s">
        <v>480</v>
      </c>
      <c r="O110" s="31">
        <v>0</v>
      </c>
      <c r="P110" s="31" t="s">
        <v>480</v>
      </c>
      <c r="Q110" s="31">
        <v>0</v>
      </c>
      <c r="R110" s="32" t="s">
        <v>480</v>
      </c>
      <c r="S110" s="33">
        <f t="shared" si="24"/>
        <v>0</v>
      </c>
    </row>
    <row r="111" spans="1:19" s="15" customFormat="1" ht="25.5" customHeight="1" x14ac:dyDescent="0.2">
      <c r="A111" s="110" t="s">
        <v>162</v>
      </c>
      <c r="B111" s="111"/>
      <c r="C111" s="112" t="s">
        <v>55</v>
      </c>
      <c r="D111" s="113"/>
      <c r="E111" s="113"/>
      <c r="F111" s="113"/>
      <c r="G111" s="114"/>
      <c r="H111" s="29" t="s">
        <v>3</v>
      </c>
      <c r="I111" s="30">
        <v>0</v>
      </c>
      <c r="J111" s="31">
        <v>0</v>
      </c>
      <c r="K111" s="31">
        <v>0</v>
      </c>
      <c r="L111" s="31" t="s">
        <v>480</v>
      </c>
      <c r="M111" s="31">
        <v>0</v>
      </c>
      <c r="N111" s="31" t="s">
        <v>480</v>
      </c>
      <c r="O111" s="31">
        <v>0</v>
      </c>
      <c r="P111" s="31" t="s">
        <v>480</v>
      </c>
      <c r="Q111" s="31">
        <v>0</v>
      </c>
      <c r="R111" s="32" t="s">
        <v>480</v>
      </c>
      <c r="S111" s="33">
        <f t="shared" si="24"/>
        <v>0</v>
      </c>
    </row>
    <row r="112" spans="1:19" s="15" customFormat="1" ht="25.5" customHeight="1" x14ac:dyDescent="0.2">
      <c r="A112" s="110" t="s">
        <v>163</v>
      </c>
      <c r="B112" s="111"/>
      <c r="C112" s="112" t="s">
        <v>77</v>
      </c>
      <c r="D112" s="113"/>
      <c r="E112" s="113"/>
      <c r="F112" s="113"/>
      <c r="G112" s="114"/>
      <c r="H112" s="29" t="s">
        <v>3</v>
      </c>
      <c r="I112" s="30">
        <v>0</v>
      </c>
      <c r="J112" s="31">
        <v>0</v>
      </c>
      <c r="K112" s="31">
        <v>0</v>
      </c>
      <c r="L112" s="31" t="s">
        <v>480</v>
      </c>
      <c r="M112" s="31">
        <v>0</v>
      </c>
      <c r="N112" s="31" t="s">
        <v>480</v>
      </c>
      <c r="O112" s="31">
        <v>0</v>
      </c>
      <c r="P112" s="31" t="s">
        <v>480</v>
      </c>
      <c r="Q112" s="31">
        <v>0</v>
      </c>
      <c r="R112" s="32" t="s">
        <v>480</v>
      </c>
      <c r="S112" s="33">
        <f t="shared" si="24"/>
        <v>0</v>
      </c>
    </row>
    <row r="113" spans="1:19" s="15" customFormat="1" ht="25.5" customHeight="1" x14ac:dyDescent="0.2">
      <c r="A113" s="110" t="s">
        <v>164</v>
      </c>
      <c r="B113" s="111"/>
      <c r="C113" s="112" t="s">
        <v>78</v>
      </c>
      <c r="D113" s="113"/>
      <c r="E113" s="113"/>
      <c r="F113" s="113"/>
      <c r="G113" s="114"/>
      <c r="H113" s="29" t="s">
        <v>3</v>
      </c>
      <c r="I113" s="30">
        <v>0</v>
      </c>
      <c r="J113" s="31">
        <v>0</v>
      </c>
      <c r="K113" s="31">
        <v>0</v>
      </c>
      <c r="L113" s="31" t="s">
        <v>480</v>
      </c>
      <c r="M113" s="31">
        <v>0</v>
      </c>
      <c r="N113" s="31" t="s">
        <v>480</v>
      </c>
      <c r="O113" s="31">
        <v>0</v>
      </c>
      <c r="P113" s="31" t="s">
        <v>480</v>
      </c>
      <c r="Q113" s="31">
        <v>0</v>
      </c>
      <c r="R113" s="32" t="s">
        <v>480</v>
      </c>
      <c r="S113" s="33">
        <f t="shared" si="24"/>
        <v>0</v>
      </c>
    </row>
    <row r="114" spans="1:19" s="15" customFormat="1" ht="25.5" customHeight="1" x14ac:dyDescent="0.2">
      <c r="A114" s="110" t="s">
        <v>165</v>
      </c>
      <c r="B114" s="111"/>
      <c r="C114" s="112" t="s">
        <v>79</v>
      </c>
      <c r="D114" s="113"/>
      <c r="E114" s="113"/>
      <c r="F114" s="113"/>
      <c r="G114" s="114"/>
      <c r="H114" s="29" t="s">
        <v>3</v>
      </c>
      <c r="I114" s="30">
        <v>0</v>
      </c>
      <c r="J114" s="31">
        <v>0</v>
      </c>
      <c r="K114" s="31">
        <v>0</v>
      </c>
      <c r="L114" s="31" t="s">
        <v>480</v>
      </c>
      <c r="M114" s="31">
        <v>0</v>
      </c>
      <c r="N114" s="31" t="s">
        <v>480</v>
      </c>
      <c r="O114" s="31">
        <v>0</v>
      </c>
      <c r="P114" s="31" t="s">
        <v>480</v>
      </c>
      <c r="Q114" s="31">
        <v>0</v>
      </c>
      <c r="R114" s="32" t="s">
        <v>480</v>
      </c>
      <c r="S114" s="33">
        <f t="shared" si="24"/>
        <v>0</v>
      </c>
    </row>
    <row r="115" spans="1:19" s="15" customFormat="1" ht="25.5" customHeight="1" x14ac:dyDescent="0.2">
      <c r="A115" s="110" t="s">
        <v>166</v>
      </c>
      <c r="B115" s="111"/>
      <c r="C115" s="112" t="s">
        <v>80</v>
      </c>
      <c r="D115" s="113"/>
      <c r="E115" s="113"/>
      <c r="F115" s="113"/>
      <c r="G115" s="114"/>
      <c r="H115" s="29" t="s">
        <v>3</v>
      </c>
      <c r="I115" s="30">
        <f>I106-I120</f>
        <v>-726.40779929915186</v>
      </c>
      <c r="J115" s="31">
        <f>J106-J120</f>
        <v>-850.40723259666834</v>
      </c>
      <c r="K115" s="31">
        <f t="shared" ref="K115" si="45">K106-K120</f>
        <v>-326.95937969171655</v>
      </c>
      <c r="L115" s="31" t="s">
        <v>480</v>
      </c>
      <c r="M115" s="31">
        <f t="shared" ref="M115" si="46">M106-M120</f>
        <v>95.029921396123967</v>
      </c>
      <c r="N115" s="31" t="s">
        <v>480</v>
      </c>
      <c r="O115" s="31">
        <f t="shared" ref="O115" si="47">O106-O120</f>
        <v>61.514384886908701</v>
      </c>
      <c r="P115" s="31" t="s">
        <v>480</v>
      </c>
      <c r="Q115" s="31">
        <f t="shared" ref="Q115" si="48">Q106-Q120</f>
        <v>61.422127828113247</v>
      </c>
      <c r="R115" s="32" t="s">
        <v>480</v>
      </c>
      <c r="S115" s="33">
        <f t="shared" si="24"/>
        <v>217.9664341111459</v>
      </c>
    </row>
    <row r="116" spans="1:19" s="15" customFormat="1" ht="25.5" customHeight="1" x14ac:dyDescent="0.2">
      <c r="A116" s="110" t="s">
        <v>167</v>
      </c>
      <c r="B116" s="111"/>
      <c r="C116" s="112" t="s">
        <v>81</v>
      </c>
      <c r="D116" s="113"/>
      <c r="E116" s="113"/>
      <c r="F116" s="113"/>
      <c r="G116" s="114"/>
      <c r="H116" s="29" t="s">
        <v>3</v>
      </c>
      <c r="I116" s="30">
        <v>0</v>
      </c>
      <c r="J116" s="31">
        <v>0</v>
      </c>
      <c r="K116" s="31">
        <v>0</v>
      </c>
      <c r="L116" s="31" t="s">
        <v>480</v>
      </c>
      <c r="M116" s="31">
        <v>0</v>
      </c>
      <c r="N116" s="31" t="s">
        <v>480</v>
      </c>
      <c r="O116" s="31">
        <v>0</v>
      </c>
      <c r="P116" s="31" t="s">
        <v>480</v>
      </c>
      <c r="Q116" s="31">
        <v>0</v>
      </c>
      <c r="R116" s="32" t="s">
        <v>480</v>
      </c>
      <c r="S116" s="33">
        <f t="shared" si="24"/>
        <v>0</v>
      </c>
    </row>
    <row r="117" spans="1:19" s="15" customFormat="1" ht="25.5" customHeight="1" x14ac:dyDescent="0.2">
      <c r="A117" s="110" t="s">
        <v>168</v>
      </c>
      <c r="B117" s="111"/>
      <c r="C117" s="112" t="s">
        <v>82</v>
      </c>
      <c r="D117" s="113"/>
      <c r="E117" s="113"/>
      <c r="F117" s="113"/>
      <c r="G117" s="114"/>
      <c r="H117" s="29" t="s">
        <v>3</v>
      </c>
      <c r="I117" s="30">
        <v>0</v>
      </c>
      <c r="J117" s="31">
        <v>0</v>
      </c>
      <c r="K117" s="31">
        <v>0</v>
      </c>
      <c r="L117" s="31" t="s">
        <v>480</v>
      </c>
      <c r="M117" s="31">
        <v>0</v>
      </c>
      <c r="N117" s="31" t="s">
        <v>480</v>
      </c>
      <c r="O117" s="31">
        <v>0</v>
      </c>
      <c r="P117" s="31" t="s">
        <v>480</v>
      </c>
      <c r="Q117" s="31">
        <v>0</v>
      </c>
      <c r="R117" s="32" t="s">
        <v>480</v>
      </c>
      <c r="S117" s="33">
        <f t="shared" si="24"/>
        <v>0</v>
      </c>
    </row>
    <row r="118" spans="1:19" s="15" customFormat="1" ht="25.5" customHeight="1" x14ac:dyDescent="0.2">
      <c r="A118" s="110" t="s">
        <v>169</v>
      </c>
      <c r="B118" s="111"/>
      <c r="C118" s="115" t="s">
        <v>83</v>
      </c>
      <c r="D118" s="116"/>
      <c r="E118" s="116"/>
      <c r="F118" s="116"/>
      <c r="G118" s="117"/>
      <c r="H118" s="29" t="s">
        <v>3</v>
      </c>
      <c r="I118" s="30">
        <v>0</v>
      </c>
      <c r="J118" s="31">
        <v>0</v>
      </c>
      <c r="K118" s="31">
        <v>0</v>
      </c>
      <c r="L118" s="31" t="s">
        <v>480</v>
      </c>
      <c r="M118" s="31">
        <v>0</v>
      </c>
      <c r="N118" s="31" t="s">
        <v>480</v>
      </c>
      <c r="O118" s="31">
        <v>0</v>
      </c>
      <c r="P118" s="31" t="s">
        <v>480</v>
      </c>
      <c r="Q118" s="31">
        <v>0</v>
      </c>
      <c r="R118" s="32" t="s">
        <v>480</v>
      </c>
      <c r="S118" s="33">
        <f t="shared" si="24"/>
        <v>0</v>
      </c>
    </row>
    <row r="119" spans="1:19" s="15" customFormat="1" ht="25.5" customHeight="1" x14ac:dyDescent="0.2">
      <c r="A119" s="110" t="s">
        <v>170</v>
      </c>
      <c r="B119" s="111"/>
      <c r="C119" s="115" t="s">
        <v>84</v>
      </c>
      <c r="D119" s="116"/>
      <c r="E119" s="116"/>
      <c r="F119" s="116"/>
      <c r="G119" s="117"/>
      <c r="H119" s="29" t="s">
        <v>3</v>
      </c>
      <c r="I119" s="30">
        <v>0</v>
      </c>
      <c r="J119" s="31">
        <v>0</v>
      </c>
      <c r="K119" s="31">
        <v>0</v>
      </c>
      <c r="L119" s="31" t="s">
        <v>480</v>
      </c>
      <c r="M119" s="31">
        <v>0</v>
      </c>
      <c r="N119" s="31" t="s">
        <v>480</v>
      </c>
      <c r="O119" s="31">
        <v>0</v>
      </c>
      <c r="P119" s="31" t="s">
        <v>480</v>
      </c>
      <c r="Q119" s="31">
        <v>0</v>
      </c>
      <c r="R119" s="32" t="s">
        <v>480</v>
      </c>
      <c r="S119" s="33">
        <f t="shared" si="24"/>
        <v>0</v>
      </c>
    </row>
    <row r="120" spans="1:19" s="15" customFormat="1" ht="25.5" customHeight="1" x14ac:dyDescent="0.2">
      <c r="A120" s="110" t="s">
        <v>171</v>
      </c>
      <c r="B120" s="111"/>
      <c r="C120" s="112" t="s">
        <v>85</v>
      </c>
      <c r="D120" s="113"/>
      <c r="E120" s="113"/>
      <c r="F120" s="113"/>
      <c r="G120" s="114"/>
      <c r="H120" s="29" t="s">
        <v>3</v>
      </c>
      <c r="I120" s="30">
        <f>I92</f>
        <v>2.8962323728813715</v>
      </c>
      <c r="J120" s="31">
        <f t="shared" ref="J120:K120" si="49">J92</f>
        <v>3.1012413995762671</v>
      </c>
      <c r="K120" s="31">
        <f t="shared" si="49"/>
        <v>3.7604514200124992</v>
      </c>
      <c r="L120" s="31" t="s">
        <v>480</v>
      </c>
      <c r="M120" s="31">
        <f t="shared" ref="M120" si="50">M92</f>
        <v>3.7826004788763612</v>
      </c>
      <c r="N120" s="31" t="s">
        <v>480</v>
      </c>
      <c r="O120" s="31">
        <f t="shared" ref="O120" si="51">O92</f>
        <v>3.8158873630904822</v>
      </c>
      <c r="P120" s="31" t="s">
        <v>480</v>
      </c>
      <c r="Q120" s="31">
        <f t="shared" ref="Q120" si="52">Q92</f>
        <v>3.8494671718856779</v>
      </c>
      <c r="R120" s="32" t="s">
        <v>480</v>
      </c>
      <c r="S120" s="33">
        <f t="shared" si="24"/>
        <v>11.447955013852521</v>
      </c>
    </row>
    <row r="121" spans="1:19" s="15" customFormat="1" ht="25.5" customHeight="1" x14ac:dyDescent="0.2">
      <c r="A121" s="110" t="s">
        <v>172</v>
      </c>
      <c r="B121" s="111"/>
      <c r="C121" s="118" t="s">
        <v>173</v>
      </c>
      <c r="D121" s="119"/>
      <c r="E121" s="119"/>
      <c r="F121" s="119"/>
      <c r="G121" s="120"/>
      <c r="H121" s="29" t="s">
        <v>3</v>
      </c>
      <c r="I121" s="30">
        <f>I130+I135</f>
        <v>-53.094200700848091</v>
      </c>
      <c r="J121" s="31">
        <f t="shared" ref="J121:K121" si="53">J130+J135</f>
        <v>-2.1000000000000001E-2</v>
      </c>
      <c r="K121" s="31">
        <f t="shared" si="53"/>
        <v>0</v>
      </c>
      <c r="L121" s="31" t="s">
        <v>480</v>
      </c>
      <c r="M121" s="31">
        <f t="shared" ref="M121" si="54">M130+M135</f>
        <v>19.762504375000063</v>
      </c>
      <c r="N121" s="31" t="s">
        <v>480</v>
      </c>
      <c r="O121" s="31">
        <f t="shared" ref="O121" si="55">O130+O135</f>
        <v>13.066054450000005</v>
      </c>
      <c r="P121" s="31" t="s">
        <v>480</v>
      </c>
      <c r="Q121" s="31">
        <f t="shared" ref="Q121" si="56">Q130+Q135</f>
        <v>13.054318999999975</v>
      </c>
      <c r="R121" s="32" t="s">
        <v>480</v>
      </c>
      <c r="S121" s="33">
        <f t="shared" si="24"/>
        <v>45.882877825000037</v>
      </c>
    </row>
    <row r="122" spans="1:19" s="15" customFormat="1" ht="25.5" customHeight="1" x14ac:dyDescent="0.2">
      <c r="A122" s="110" t="s">
        <v>174</v>
      </c>
      <c r="B122" s="111"/>
      <c r="C122" s="112" t="s">
        <v>43</v>
      </c>
      <c r="D122" s="113"/>
      <c r="E122" s="113"/>
      <c r="F122" s="113"/>
      <c r="G122" s="114"/>
      <c r="H122" s="29" t="s">
        <v>3</v>
      </c>
      <c r="I122" s="30">
        <v>0</v>
      </c>
      <c r="J122" s="31">
        <v>0</v>
      </c>
      <c r="K122" s="31">
        <v>0</v>
      </c>
      <c r="L122" s="31" t="s">
        <v>480</v>
      </c>
      <c r="M122" s="31">
        <v>0</v>
      </c>
      <c r="N122" s="31" t="s">
        <v>480</v>
      </c>
      <c r="O122" s="31">
        <v>0</v>
      </c>
      <c r="P122" s="31" t="s">
        <v>480</v>
      </c>
      <c r="Q122" s="31">
        <v>0</v>
      </c>
      <c r="R122" s="32" t="s">
        <v>480</v>
      </c>
      <c r="S122" s="33">
        <f t="shared" si="24"/>
        <v>0</v>
      </c>
    </row>
    <row r="123" spans="1:19" s="15" customFormat="1" ht="25.5" customHeight="1" x14ac:dyDescent="0.2">
      <c r="A123" s="110" t="s">
        <v>175</v>
      </c>
      <c r="B123" s="111"/>
      <c r="C123" s="115" t="s">
        <v>44</v>
      </c>
      <c r="D123" s="116"/>
      <c r="E123" s="116"/>
      <c r="F123" s="116"/>
      <c r="G123" s="117"/>
      <c r="H123" s="29" t="s">
        <v>3</v>
      </c>
      <c r="I123" s="30">
        <v>0</v>
      </c>
      <c r="J123" s="31">
        <v>0</v>
      </c>
      <c r="K123" s="31">
        <v>0</v>
      </c>
      <c r="L123" s="31" t="s">
        <v>480</v>
      </c>
      <c r="M123" s="31">
        <v>0</v>
      </c>
      <c r="N123" s="31" t="s">
        <v>480</v>
      </c>
      <c r="O123" s="31">
        <v>0</v>
      </c>
      <c r="P123" s="31" t="s">
        <v>480</v>
      </c>
      <c r="Q123" s="31">
        <v>0</v>
      </c>
      <c r="R123" s="32" t="s">
        <v>480</v>
      </c>
      <c r="S123" s="33">
        <f t="shared" si="24"/>
        <v>0</v>
      </c>
    </row>
    <row r="124" spans="1:19" s="15" customFormat="1" ht="25.5" customHeight="1" x14ac:dyDescent="0.2">
      <c r="A124" s="110" t="s">
        <v>176</v>
      </c>
      <c r="B124" s="111"/>
      <c r="C124" s="115" t="s">
        <v>53</v>
      </c>
      <c r="D124" s="116"/>
      <c r="E124" s="116"/>
      <c r="F124" s="116"/>
      <c r="G124" s="117"/>
      <c r="H124" s="29" t="s">
        <v>3</v>
      </c>
      <c r="I124" s="30">
        <v>0</v>
      </c>
      <c r="J124" s="31">
        <v>0</v>
      </c>
      <c r="K124" s="31">
        <v>0</v>
      </c>
      <c r="L124" s="31" t="s">
        <v>480</v>
      </c>
      <c r="M124" s="31">
        <v>0</v>
      </c>
      <c r="N124" s="31" t="s">
        <v>480</v>
      </c>
      <c r="O124" s="31">
        <v>0</v>
      </c>
      <c r="P124" s="31" t="s">
        <v>480</v>
      </c>
      <c r="Q124" s="31">
        <v>0</v>
      </c>
      <c r="R124" s="32" t="s">
        <v>480</v>
      </c>
      <c r="S124" s="33">
        <f t="shared" si="24"/>
        <v>0</v>
      </c>
    </row>
    <row r="125" spans="1:19" s="15" customFormat="1" ht="25.5" customHeight="1" x14ac:dyDescent="0.2">
      <c r="A125" s="110" t="s">
        <v>177</v>
      </c>
      <c r="B125" s="111"/>
      <c r="C125" s="115" t="s">
        <v>54</v>
      </c>
      <c r="D125" s="116"/>
      <c r="E125" s="116"/>
      <c r="F125" s="116"/>
      <c r="G125" s="117"/>
      <c r="H125" s="29" t="s">
        <v>3</v>
      </c>
      <c r="I125" s="30">
        <v>0</v>
      </c>
      <c r="J125" s="31">
        <v>0</v>
      </c>
      <c r="K125" s="31">
        <v>0</v>
      </c>
      <c r="L125" s="31" t="s">
        <v>480</v>
      </c>
      <c r="M125" s="31">
        <v>0</v>
      </c>
      <c r="N125" s="31" t="s">
        <v>480</v>
      </c>
      <c r="O125" s="31">
        <v>0</v>
      </c>
      <c r="P125" s="31" t="s">
        <v>480</v>
      </c>
      <c r="Q125" s="31">
        <v>0</v>
      </c>
      <c r="R125" s="32" t="s">
        <v>480</v>
      </c>
      <c r="S125" s="33">
        <f t="shared" si="24"/>
        <v>0</v>
      </c>
    </row>
    <row r="126" spans="1:19" s="15" customFormat="1" ht="25.5" customHeight="1" x14ac:dyDescent="0.2">
      <c r="A126" s="110" t="s">
        <v>178</v>
      </c>
      <c r="B126" s="111"/>
      <c r="C126" s="112" t="s">
        <v>667</v>
      </c>
      <c r="D126" s="113"/>
      <c r="E126" s="113"/>
      <c r="F126" s="113"/>
      <c r="G126" s="114"/>
      <c r="H126" s="29" t="s">
        <v>3</v>
      </c>
      <c r="I126" s="30">
        <v>0</v>
      </c>
      <c r="J126" s="31">
        <v>0</v>
      </c>
      <c r="K126" s="31">
        <v>0</v>
      </c>
      <c r="L126" s="31" t="s">
        <v>480</v>
      </c>
      <c r="M126" s="31">
        <v>0</v>
      </c>
      <c r="N126" s="31" t="s">
        <v>480</v>
      </c>
      <c r="O126" s="31">
        <v>0</v>
      </c>
      <c r="P126" s="31" t="s">
        <v>480</v>
      </c>
      <c r="Q126" s="31">
        <v>0</v>
      </c>
      <c r="R126" s="32" t="s">
        <v>480</v>
      </c>
      <c r="S126" s="33">
        <f t="shared" si="24"/>
        <v>0</v>
      </c>
    </row>
    <row r="127" spans="1:19" s="15" customFormat="1" ht="25.5" customHeight="1" x14ac:dyDescent="0.2">
      <c r="A127" s="110" t="s">
        <v>179</v>
      </c>
      <c r="B127" s="111"/>
      <c r="C127" s="112" t="s">
        <v>668</v>
      </c>
      <c r="D127" s="113"/>
      <c r="E127" s="113"/>
      <c r="F127" s="113"/>
      <c r="G127" s="114"/>
      <c r="H127" s="29" t="s">
        <v>3</v>
      </c>
      <c r="I127" s="30">
        <v>0</v>
      </c>
      <c r="J127" s="31">
        <v>0</v>
      </c>
      <c r="K127" s="31">
        <v>0</v>
      </c>
      <c r="L127" s="31" t="s">
        <v>480</v>
      </c>
      <c r="M127" s="31">
        <v>0</v>
      </c>
      <c r="N127" s="31" t="s">
        <v>480</v>
      </c>
      <c r="O127" s="31">
        <v>0</v>
      </c>
      <c r="P127" s="31" t="s">
        <v>480</v>
      </c>
      <c r="Q127" s="31">
        <v>0</v>
      </c>
      <c r="R127" s="32" t="s">
        <v>480</v>
      </c>
      <c r="S127" s="33">
        <f t="shared" si="24"/>
        <v>0</v>
      </c>
    </row>
    <row r="128" spans="1:19" s="15" customFormat="1" ht="25.5" customHeight="1" x14ac:dyDescent="0.2">
      <c r="A128" s="110" t="s">
        <v>180</v>
      </c>
      <c r="B128" s="111"/>
      <c r="C128" s="112" t="s">
        <v>669</v>
      </c>
      <c r="D128" s="113"/>
      <c r="E128" s="113"/>
      <c r="F128" s="113"/>
      <c r="G128" s="114"/>
      <c r="H128" s="29" t="s">
        <v>3</v>
      </c>
      <c r="I128" s="30">
        <v>0</v>
      </c>
      <c r="J128" s="31">
        <v>0</v>
      </c>
      <c r="K128" s="31">
        <v>0</v>
      </c>
      <c r="L128" s="31" t="s">
        <v>480</v>
      </c>
      <c r="M128" s="31">
        <v>0</v>
      </c>
      <c r="N128" s="31" t="s">
        <v>480</v>
      </c>
      <c r="O128" s="31">
        <v>0</v>
      </c>
      <c r="P128" s="31" t="s">
        <v>480</v>
      </c>
      <c r="Q128" s="31">
        <v>0</v>
      </c>
      <c r="R128" s="32" t="s">
        <v>480</v>
      </c>
      <c r="S128" s="33">
        <f t="shared" si="24"/>
        <v>0</v>
      </c>
    </row>
    <row r="129" spans="1:19" s="15" customFormat="1" ht="25.5" customHeight="1" x14ac:dyDescent="0.2">
      <c r="A129" s="110" t="s">
        <v>181</v>
      </c>
      <c r="B129" s="111"/>
      <c r="C129" s="112" t="s">
        <v>670</v>
      </c>
      <c r="D129" s="113"/>
      <c r="E129" s="113"/>
      <c r="F129" s="113"/>
      <c r="G129" s="114"/>
      <c r="H129" s="29" t="s">
        <v>3</v>
      </c>
      <c r="I129" s="30">
        <v>0</v>
      </c>
      <c r="J129" s="31">
        <v>0</v>
      </c>
      <c r="K129" s="31">
        <v>0</v>
      </c>
      <c r="L129" s="31" t="s">
        <v>480</v>
      </c>
      <c r="M129" s="31">
        <v>0</v>
      </c>
      <c r="N129" s="31" t="s">
        <v>480</v>
      </c>
      <c r="O129" s="31">
        <v>0</v>
      </c>
      <c r="P129" s="31" t="s">
        <v>480</v>
      </c>
      <c r="Q129" s="31">
        <v>0</v>
      </c>
      <c r="R129" s="32" t="s">
        <v>480</v>
      </c>
      <c r="S129" s="33">
        <f t="shared" si="24"/>
        <v>0</v>
      </c>
    </row>
    <row r="130" spans="1:19" s="15" customFormat="1" ht="25.5" customHeight="1" x14ac:dyDescent="0.2">
      <c r="A130" s="110" t="s">
        <v>182</v>
      </c>
      <c r="B130" s="111"/>
      <c r="C130" s="112" t="s">
        <v>671</v>
      </c>
      <c r="D130" s="113"/>
      <c r="E130" s="113"/>
      <c r="F130" s="113"/>
      <c r="G130" s="114"/>
      <c r="H130" s="29" t="s">
        <v>3</v>
      </c>
      <c r="I130" s="30">
        <f>-779.502-I115</f>
        <v>-53.094200700848091</v>
      </c>
      <c r="J130" s="31">
        <v>-2.1000000000000001E-2</v>
      </c>
      <c r="K130" s="31">
        <v>0</v>
      </c>
      <c r="L130" s="31" t="s">
        <v>480</v>
      </c>
      <c r="M130" s="31">
        <f>'[2]ФЭМ сравнение с БП'!$G$53/1000</f>
        <v>19.762504375000063</v>
      </c>
      <c r="N130" s="31" t="s">
        <v>480</v>
      </c>
      <c r="O130" s="31">
        <f>'[2]ФЭМ сравнение с БП'!$H$53/1000</f>
        <v>13.066054450000005</v>
      </c>
      <c r="P130" s="31" t="s">
        <v>480</v>
      </c>
      <c r="Q130" s="31">
        <f>'[2]ФЭМ сравнение с БП'!$I$53/1000</f>
        <v>13.054318999999975</v>
      </c>
      <c r="R130" s="32" t="s">
        <v>480</v>
      </c>
      <c r="S130" s="33">
        <f t="shared" si="24"/>
        <v>45.882877825000037</v>
      </c>
    </row>
    <row r="131" spans="1:19" s="15" customFormat="1" ht="25.5" customHeight="1" x14ac:dyDescent="0.2">
      <c r="A131" s="110" t="s">
        <v>183</v>
      </c>
      <c r="B131" s="111"/>
      <c r="C131" s="112" t="s">
        <v>672</v>
      </c>
      <c r="D131" s="113"/>
      <c r="E131" s="113"/>
      <c r="F131" s="113"/>
      <c r="G131" s="114"/>
      <c r="H131" s="29" t="s">
        <v>3</v>
      </c>
      <c r="I131" s="30">
        <v>0</v>
      </c>
      <c r="J131" s="31">
        <v>0</v>
      </c>
      <c r="K131" s="31">
        <v>0</v>
      </c>
      <c r="L131" s="31" t="s">
        <v>480</v>
      </c>
      <c r="M131" s="31">
        <v>0</v>
      </c>
      <c r="N131" s="31" t="s">
        <v>480</v>
      </c>
      <c r="O131" s="31">
        <v>0</v>
      </c>
      <c r="P131" s="31" t="s">
        <v>480</v>
      </c>
      <c r="Q131" s="31">
        <v>0</v>
      </c>
      <c r="R131" s="32" t="s">
        <v>480</v>
      </c>
      <c r="S131" s="33">
        <f t="shared" si="24"/>
        <v>0</v>
      </c>
    </row>
    <row r="132" spans="1:19" s="15" customFormat="1" ht="25.5" customHeight="1" x14ac:dyDescent="0.2">
      <c r="A132" s="110" t="s">
        <v>184</v>
      </c>
      <c r="B132" s="111"/>
      <c r="C132" s="112" t="s">
        <v>82</v>
      </c>
      <c r="D132" s="113"/>
      <c r="E132" s="113"/>
      <c r="F132" s="113"/>
      <c r="G132" s="114"/>
      <c r="H132" s="29" t="s">
        <v>3</v>
      </c>
      <c r="I132" s="30">
        <v>0</v>
      </c>
      <c r="J132" s="31">
        <v>0</v>
      </c>
      <c r="K132" s="31">
        <v>0</v>
      </c>
      <c r="L132" s="31" t="s">
        <v>480</v>
      </c>
      <c r="M132" s="31">
        <v>0</v>
      </c>
      <c r="N132" s="31" t="s">
        <v>480</v>
      </c>
      <c r="O132" s="31">
        <v>0</v>
      </c>
      <c r="P132" s="31" t="s">
        <v>480</v>
      </c>
      <c r="Q132" s="31">
        <v>0</v>
      </c>
      <c r="R132" s="32" t="s">
        <v>480</v>
      </c>
      <c r="S132" s="33">
        <f t="shared" si="24"/>
        <v>0</v>
      </c>
    </row>
    <row r="133" spans="1:19" s="15" customFormat="1" ht="25.5" customHeight="1" x14ac:dyDescent="0.2">
      <c r="A133" s="110" t="s">
        <v>185</v>
      </c>
      <c r="B133" s="111"/>
      <c r="C133" s="115" t="s">
        <v>83</v>
      </c>
      <c r="D133" s="116"/>
      <c r="E133" s="116"/>
      <c r="F133" s="116"/>
      <c r="G133" s="117"/>
      <c r="H133" s="29" t="s">
        <v>3</v>
      </c>
      <c r="I133" s="30">
        <v>0</v>
      </c>
      <c r="J133" s="31">
        <v>0</v>
      </c>
      <c r="K133" s="31">
        <v>0</v>
      </c>
      <c r="L133" s="31" t="s">
        <v>480</v>
      </c>
      <c r="M133" s="31">
        <v>0</v>
      </c>
      <c r="N133" s="31" t="s">
        <v>480</v>
      </c>
      <c r="O133" s="31">
        <v>0</v>
      </c>
      <c r="P133" s="31" t="s">
        <v>480</v>
      </c>
      <c r="Q133" s="31">
        <v>0</v>
      </c>
      <c r="R133" s="32" t="s">
        <v>480</v>
      </c>
      <c r="S133" s="33">
        <f t="shared" si="24"/>
        <v>0</v>
      </c>
    </row>
    <row r="134" spans="1:19" s="15" customFormat="1" ht="25.5" customHeight="1" x14ac:dyDescent="0.2">
      <c r="A134" s="110" t="s">
        <v>186</v>
      </c>
      <c r="B134" s="111"/>
      <c r="C134" s="115" t="s">
        <v>84</v>
      </c>
      <c r="D134" s="116"/>
      <c r="E134" s="116"/>
      <c r="F134" s="116"/>
      <c r="G134" s="117"/>
      <c r="H134" s="29" t="s">
        <v>3</v>
      </c>
      <c r="I134" s="30">
        <v>0</v>
      </c>
      <c r="J134" s="31">
        <v>0</v>
      </c>
      <c r="K134" s="31">
        <v>0</v>
      </c>
      <c r="L134" s="31" t="s">
        <v>480</v>
      </c>
      <c r="M134" s="31">
        <v>0</v>
      </c>
      <c r="N134" s="31" t="s">
        <v>480</v>
      </c>
      <c r="O134" s="31">
        <v>0</v>
      </c>
      <c r="P134" s="31" t="s">
        <v>480</v>
      </c>
      <c r="Q134" s="31">
        <v>0</v>
      </c>
      <c r="R134" s="32" t="s">
        <v>480</v>
      </c>
      <c r="S134" s="33">
        <f t="shared" si="24"/>
        <v>0</v>
      </c>
    </row>
    <row r="135" spans="1:19" s="15" customFormat="1" ht="25.5" customHeight="1" x14ac:dyDescent="0.2">
      <c r="A135" s="110" t="s">
        <v>187</v>
      </c>
      <c r="B135" s="111"/>
      <c r="C135" s="112" t="s">
        <v>673</v>
      </c>
      <c r="D135" s="113"/>
      <c r="E135" s="113"/>
      <c r="F135" s="113"/>
      <c r="G135" s="114"/>
      <c r="H135" s="29" t="s">
        <v>3</v>
      </c>
      <c r="I135" s="30">
        <v>0</v>
      </c>
      <c r="J135" s="31">
        <v>0</v>
      </c>
      <c r="K135" s="31">
        <v>0</v>
      </c>
      <c r="L135" s="31" t="s">
        <v>480</v>
      </c>
      <c r="M135" s="31">
        <v>0</v>
      </c>
      <c r="N135" s="31" t="s">
        <v>480</v>
      </c>
      <c r="O135" s="31">
        <v>0</v>
      </c>
      <c r="P135" s="31" t="s">
        <v>480</v>
      </c>
      <c r="Q135" s="31">
        <v>0</v>
      </c>
      <c r="R135" s="32" t="s">
        <v>480</v>
      </c>
      <c r="S135" s="33">
        <f t="shared" si="24"/>
        <v>0</v>
      </c>
    </row>
    <row r="136" spans="1:19" s="15" customFormat="1" ht="25.5" customHeight="1" x14ac:dyDescent="0.2">
      <c r="A136" s="110" t="s">
        <v>188</v>
      </c>
      <c r="B136" s="111"/>
      <c r="C136" s="118" t="s">
        <v>189</v>
      </c>
      <c r="D136" s="119"/>
      <c r="E136" s="119"/>
      <c r="F136" s="119"/>
      <c r="G136" s="120"/>
      <c r="H136" s="29" t="s">
        <v>3</v>
      </c>
      <c r="I136" s="30">
        <f>I115+I121</f>
        <v>-779.50199999999995</v>
      </c>
      <c r="J136" s="31">
        <f>J106-J121</f>
        <v>-847.28499119709215</v>
      </c>
      <c r="K136" s="31">
        <f>K106-K121</f>
        <v>-323.19892827170406</v>
      </c>
      <c r="L136" s="31" t="s">
        <v>480</v>
      </c>
      <c r="M136" s="31">
        <f>M106-M121</f>
        <v>79.050017500000266</v>
      </c>
      <c r="N136" s="31" t="s">
        <v>480</v>
      </c>
      <c r="O136" s="31">
        <f>O106-O121</f>
        <v>52.26421779999918</v>
      </c>
      <c r="P136" s="31" t="s">
        <v>480</v>
      </c>
      <c r="Q136" s="31">
        <f>Q106-Q121</f>
        <v>52.217275999998947</v>
      </c>
      <c r="R136" s="32" t="s">
        <v>480</v>
      </c>
      <c r="S136" s="33">
        <f t="shared" si="24"/>
        <v>183.53151129999839</v>
      </c>
    </row>
    <row r="137" spans="1:19" s="15" customFormat="1" ht="25.5" customHeight="1" x14ac:dyDescent="0.2">
      <c r="A137" s="110" t="s">
        <v>190</v>
      </c>
      <c r="B137" s="111"/>
      <c r="C137" s="112" t="s">
        <v>43</v>
      </c>
      <c r="D137" s="113"/>
      <c r="E137" s="113"/>
      <c r="F137" s="113"/>
      <c r="G137" s="114"/>
      <c r="H137" s="29" t="s">
        <v>3</v>
      </c>
      <c r="I137" s="30">
        <v>0</v>
      </c>
      <c r="J137" s="31">
        <v>0</v>
      </c>
      <c r="K137" s="31">
        <v>0</v>
      </c>
      <c r="L137" s="31" t="s">
        <v>480</v>
      </c>
      <c r="M137" s="31">
        <v>0</v>
      </c>
      <c r="N137" s="31" t="s">
        <v>480</v>
      </c>
      <c r="O137" s="31">
        <v>0</v>
      </c>
      <c r="P137" s="31" t="s">
        <v>480</v>
      </c>
      <c r="Q137" s="31">
        <v>0</v>
      </c>
      <c r="R137" s="32" t="s">
        <v>480</v>
      </c>
      <c r="S137" s="33">
        <f t="shared" si="24"/>
        <v>0</v>
      </c>
    </row>
    <row r="138" spans="1:19" s="15" customFormat="1" ht="25.5" customHeight="1" x14ac:dyDescent="0.2">
      <c r="A138" s="110" t="s">
        <v>191</v>
      </c>
      <c r="B138" s="111"/>
      <c r="C138" s="115" t="s">
        <v>44</v>
      </c>
      <c r="D138" s="116"/>
      <c r="E138" s="116"/>
      <c r="F138" s="116"/>
      <c r="G138" s="117"/>
      <c r="H138" s="29" t="s">
        <v>3</v>
      </c>
      <c r="I138" s="30">
        <v>0</v>
      </c>
      <c r="J138" s="31">
        <v>0</v>
      </c>
      <c r="K138" s="31">
        <v>0</v>
      </c>
      <c r="L138" s="31" t="s">
        <v>480</v>
      </c>
      <c r="M138" s="31">
        <v>0</v>
      </c>
      <c r="N138" s="31" t="s">
        <v>480</v>
      </c>
      <c r="O138" s="31">
        <v>0</v>
      </c>
      <c r="P138" s="31" t="s">
        <v>480</v>
      </c>
      <c r="Q138" s="31">
        <v>0</v>
      </c>
      <c r="R138" s="32" t="s">
        <v>480</v>
      </c>
      <c r="S138" s="33">
        <f t="shared" si="24"/>
        <v>0</v>
      </c>
    </row>
    <row r="139" spans="1:19" s="15" customFormat="1" ht="25.5" customHeight="1" x14ac:dyDescent="0.2">
      <c r="A139" s="110" t="s">
        <v>192</v>
      </c>
      <c r="B139" s="111"/>
      <c r="C139" s="115" t="s">
        <v>53</v>
      </c>
      <c r="D139" s="116"/>
      <c r="E139" s="116"/>
      <c r="F139" s="116"/>
      <c r="G139" s="117"/>
      <c r="H139" s="29" t="s">
        <v>3</v>
      </c>
      <c r="I139" s="30">
        <v>0</v>
      </c>
      <c r="J139" s="31">
        <v>0</v>
      </c>
      <c r="K139" s="31">
        <v>0</v>
      </c>
      <c r="L139" s="31" t="s">
        <v>480</v>
      </c>
      <c r="M139" s="31">
        <v>0</v>
      </c>
      <c r="N139" s="31" t="s">
        <v>480</v>
      </c>
      <c r="O139" s="31">
        <v>0</v>
      </c>
      <c r="P139" s="31" t="s">
        <v>480</v>
      </c>
      <c r="Q139" s="31">
        <v>0</v>
      </c>
      <c r="R139" s="32" t="s">
        <v>480</v>
      </c>
      <c r="S139" s="33">
        <f t="shared" si="24"/>
        <v>0</v>
      </c>
    </row>
    <row r="140" spans="1:19" s="15" customFormat="1" ht="25.5" customHeight="1" x14ac:dyDescent="0.2">
      <c r="A140" s="110" t="s">
        <v>193</v>
      </c>
      <c r="B140" s="111"/>
      <c r="C140" s="115" t="s">
        <v>54</v>
      </c>
      <c r="D140" s="116"/>
      <c r="E140" s="116"/>
      <c r="F140" s="116"/>
      <c r="G140" s="117"/>
      <c r="H140" s="29" t="s">
        <v>3</v>
      </c>
      <c r="I140" s="30">
        <v>0</v>
      </c>
      <c r="J140" s="31">
        <v>0</v>
      </c>
      <c r="K140" s="31">
        <v>0</v>
      </c>
      <c r="L140" s="31" t="s">
        <v>480</v>
      </c>
      <c r="M140" s="31">
        <v>0</v>
      </c>
      <c r="N140" s="31" t="s">
        <v>480</v>
      </c>
      <c r="O140" s="31">
        <v>0</v>
      </c>
      <c r="P140" s="31" t="s">
        <v>480</v>
      </c>
      <c r="Q140" s="31">
        <v>0</v>
      </c>
      <c r="R140" s="32" t="s">
        <v>480</v>
      </c>
      <c r="S140" s="33">
        <f t="shared" si="24"/>
        <v>0</v>
      </c>
    </row>
    <row r="141" spans="1:19" s="15" customFormat="1" ht="25.5" customHeight="1" x14ac:dyDescent="0.2">
      <c r="A141" s="110" t="s">
        <v>194</v>
      </c>
      <c r="B141" s="111"/>
      <c r="C141" s="112" t="s">
        <v>55</v>
      </c>
      <c r="D141" s="113"/>
      <c r="E141" s="113"/>
      <c r="F141" s="113"/>
      <c r="G141" s="114"/>
      <c r="H141" s="29" t="s">
        <v>3</v>
      </c>
      <c r="I141" s="30">
        <v>0</v>
      </c>
      <c r="J141" s="31">
        <v>0</v>
      </c>
      <c r="K141" s="31">
        <v>0</v>
      </c>
      <c r="L141" s="31" t="s">
        <v>480</v>
      </c>
      <c r="M141" s="31">
        <v>0</v>
      </c>
      <c r="N141" s="31" t="s">
        <v>480</v>
      </c>
      <c r="O141" s="31">
        <v>0</v>
      </c>
      <c r="P141" s="31" t="s">
        <v>480</v>
      </c>
      <c r="Q141" s="31">
        <v>0</v>
      </c>
      <c r="R141" s="32" t="s">
        <v>480</v>
      </c>
      <c r="S141" s="33">
        <f t="shared" si="24"/>
        <v>0</v>
      </c>
    </row>
    <row r="142" spans="1:19" s="15" customFormat="1" ht="25.5" customHeight="1" x14ac:dyDescent="0.2">
      <c r="A142" s="110" t="s">
        <v>195</v>
      </c>
      <c r="B142" s="111"/>
      <c r="C142" s="112" t="s">
        <v>77</v>
      </c>
      <c r="D142" s="113"/>
      <c r="E142" s="113"/>
      <c r="F142" s="113"/>
      <c r="G142" s="114"/>
      <c r="H142" s="29" t="s">
        <v>3</v>
      </c>
      <c r="I142" s="30">
        <v>0</v>
      </c>
      <c r="J142" s="31">
        <v>0</v>
      </c>
      <c r="K142" s="31">
        <v>0</v>
      </c>
      <c r="L142" s="31" t="s">
        <v>480</v>
      </c>
      <c r="M142" s="31">
        <v>0</v>
      </c>
      <c r="N142" s="31" t="s">
        <v>480</v>
      </c>
      <c r="O142" s="31">
        <v>0</v>
      </c>
      <c r="P142" s="31" t="s">
        <v>480</v>
      </c>
      <c r="Q142" s="31">
        <v>0</v>
      </c>
      <c r="R142" s="32" t="s">
        <v>480</v>
      </c>
      <c r="S142" s="33">
        <f t="shared" si="24"/>
        <v>0</v>
      </c>
    </row>
    <row r="143" spans="1:19" s="15" customFormat="1" ht="25.5" customHeight="1" x14ac:dyDescent="0.2">
      <c r="A143" s="110" t="s">
        <v>196</v>
      </c>
      <c r="B143" s="111"/>
      <c r="C143" s="112" t="s">
        <v>78</v>
      </c>
      <c r="D143" s="113"/>
      <c r="E143" s="113"/>
      <c r="F143" s="113"/>
      <c r="G143" s="114"/>
      <c r="H143" s="29" t="s">
        <v>3</v>
      </c>
      <c r="I143" s="30">
        <v>0</v>
      </c>
      <c r="J143" s="31">
        <v>0</v>
      </c>
      <c r="K143" s="31">
        <v>0</v>
      </c>
      <c r="L143" s="31" t="s">
        <v>480</v>
      </c>
      <c r="M143" s="31">
        <v>0</v>
      </c>
      <c r="N143" s="31" t="s">
        <v>480</v>
      </c>
      <c r="O143" s="31">
        <v>0</v>
      </c>
      <c r="P143" s="31" t="s">
        <v>480</v>
      </c>
      <c r="Q143" s="31">
        <v>0</v>
      </c>
      <c r="R143" s="32" t="s">
        <v>480</v>
      </c>
      <c r="S143" s="33">
        <f t="shared" si="24"/>
        <v>0</v>
      </c>
    </row>
    <row r="144" spans="1:19" s="15" customFormat="1" ht="25.5" customHeight="1" x14ac:dyDescent="0.2">
      <c r="A144" s="110" t="s">
        <v>197</v>
      </c>
      <c r="B144" s="111"/>
      <c r="C144" s="112" t="s">
        <v>79</v>
      </c>
      <c r="D144" s="113"/>
      <c r="E144" s="113"/>
      <c r="F144" s="113"/>
      <c r="G144" s="114"/>
      <c r="H144" s="29" t="s">
        <v>3</v>
      </c>
      <c r="I144" s="30">
        <v>0</v>
      </c>
      <c r="J144" s="31">
        <v>0</v>
      </c>
      <c r="K144" s="31">
        <v>0</v>
      </c>
      <c r="L144" s="31" t="s">
        <v>480</v>
      </c>
      <c r="M144" s="31">
        <v>0</v>
      </c>
      <c r="N144" s="31" t="s">
        <v>480</v>
      </c>
      <c r="O144" s="31">
        <v>0</v>
      </c>
      <c r="P144" s="31" t="s">
        <v>480</v>
      </c>
      <c r="Q144" s="31">
        <v>0</v>
      </c>
      <c r="R144" s="32" t="s">
        <v>480</v>
      </c>
      <c r="S144" s="33">
        <f t="shared" si="24"/>
        <v>0</v>
      </c>
    </row>
    <row r="145" spans="1:22" s="15" customFormat="1" ht="25.5" customHeight="1" x14ac:dyDescent="0.2">
      <c r="A145" s="110" t="s">
        <v>198</v>
      </c>
      <c r="B145" s="111"/>
      <c r="C145" s="112" t="s">
        <v>80</v>
      </c>
      <c r="D145" s="113"/>
      <c r="E145" s="113"/>
      <c r="F145" s="113"/>
      <c r="G145" s="114"/>
      <c r="H145" s="29" t="s">
        <v>3</v>
      </c>
      <c r="I145" s="30">
        <f>I136-I92</f>
        <v>-782.39823237288135</v>
      </c>
      <c r="J145" s="31">
        <f t="shared" ref="J145:K145" si="57">J136-J92</f>
        <v>-850.38623259666838</v>
      </c>
      <c r="K145" s="31">
        <f t="shared" si="57"/>
        <v>-326.95937969171655</v>
      </c>
      <c r="L145" s="31" t="s">
        <v>480</v>
      </c>
      <c r="M145" s="31">
        <f>M136-M92</f>
        <v>75.267417021123904</v>
      </c>
      <c r="N145" s="31" t="s">
        <v>480</v>
      </c>
      <c r="O145" s="31">
        <f t="shared" ref="O145" si="58">O136-O92</f>
        <v>48.448330436908698</v>
      </c>
      <c r="P145" s="31" t="s">
        <v>480</v>
      </c>
      <c r="Q145" s="31">
        <f t="shared" ref="Q145" si="59">Q136-Q92</f>
        <v>48.367808828113269</v>
      </c>
      <c r="R145" s="32" t="s">
        <v>480</v>
      </c>
      <c r="S145" s="33">
        <f t="shared" si="24"/>
        <v>172.08355628614589</v>
      </c>
    </row>
    <row r="146" spans="1:22" s="15" customFormat="1" ht="25.5" customHeight="1" x14ac:dyDescent="0.2">
      <c r="A146" s="110" t="s">
        <v>199</v>
      </c>
      <c r="B146" s="111"/>
      <c r="C146" s="112" t="s">
        <v>81</v>
      </c>
      <c r="D146" s="113"/>
      <c r="E146" s="113"/>
      <c r="F146" s="113"/>
      <c r="G146" s="114"/>
      <c r="H146" s="29" t="s">
        <v>3</v>
      </c>
      <c r="I146" s="30">
        <v>0</v>
      </c>
      <c r="J146" s="31">
        <v>0</v>
      </c>
      <c r="K146" s="31">
        <v>0</v>
      </c>
      <c r="L146" s="31" t="s">
        <v>480</v>
      </c>
      <c r="M146" s="31">
        <v>0</v>
      </c>
      <c r="N146" s="31" t="s">
        <v>480</v>
      </c>
      <c r="O146" s="31">
        <v>0</v>
      </c>
      <c r="P146" s="31" t="s">
        <v>480</v>
      </c>
      <c r="Q146" s="31">
        <v>0</v>
      </c>
      <c r="R146" s="32" t="s">
        <v>480</v>
      </c>
      <c r="S146" s="33">
        <f t="shared" si="24"/>
        <v>0</v>
      </c>
    </row>
    <row r="147" spans="1:22" s="15" customFormat="1" ht="25.5" customHeight="1" x14ac:dyDescent="0.2">
      <c r="A147" s="110" t="s">
        <v>200</v>
      </c>
      <c r="B147" s="111"/>
      <c r="C147" s="112" t="s">
        <v>82</v>
      </c>
      <c r="D147" s="113"/>
      <c r="E147" s="113"/>
      <c r="F147" s="113"/>
      <c r="G147" s="114"/>
      <c r="H147" s="29" t="s">
        <v>3</v>
      </c>
      <c r="I147" s="30">
        <v>0</v>
      </c>
      <c r="J147" s="31">
        <v>0</v>
      </c>
      <c r="K147" s="31">
        <v>0</v>
      </c>
      <c r="L147" s="31" t="s">
        <v>480</v>
      </c>
      <c r="M147" s="31">
        <v>0</v>
      </c>
      <c r="N147" s="31" t="s">
        <v>480</v>
      </c>
      <c r="O147" s="31">
        <v>0</v>
      </c>
      <c r="P147" s="31" t="s">
        <v>480</v>
      </c>
      <c r="Q147" s="31">
        <v>0</v>
      </c>
      <c r="R147" s="32" t="s">
        <v>480</v>
      </c>
      <c r="S147" s="33">
        <f t="shared" si="24"/>
        <v>0</v>
      </c>
    </row>
    <row r="148" spans="1:22" s="15" customFormat="1" ht="25.5" customHeight="1" x14ac:dyDescent="0.2">
      <c r="A148" s="110" t="s">
        <v>201</v>
      </c>
      <c r="B148" s="111"/>
      <c r="C148" s="115" t="s">
        <v>83</v>
      </c>
      <c r="D148" s="116"/>
      <c r="E148" s="116"/>
      <c r="F148" s="116"/>
      <c r="G148" s="117"/>
      <c r="H148" s="29" t="s">
        <v>3</v>
      </c>
      <c r="I148" s="30">
        <v>0</v>
      </c>
      <c r="J148" s="31">
        <v>0</v>
      </c>
      <c r="K148" s="31">
        <v>0</v>
      </c>
      <c r="L148" s="31" t="s">
        <v>480</v>
      </c>
      <c r="M148" s="31">
        <v>0</v>
      </c>
      <c r="N148" s="31" t="s">
        <v>480</v>
      </c>
      <c r="O148" s="31">
        <v>0</v>
      </c>
      <c r="P148" s="31" t="s">
        <v>480</v>
      </c>
      <c r="Q148" s="31">
        <v>0</v>
      </c>
      <c r="R148" s="32" t="s">
        <v>480</v>
      </c>
      <c r="S148" s="33">
        <f t="shared" ref="S148:S162" si="60">M148+O148+Q148</f>
        <v>0</v>
      </c>
    </row>
    <row r="149" spans="1:22" s="15" customFormat="1" ht="25.5" customHeight="1" x14ac:dyDescent="0.2">
      <c r="A149" s="110" t="s">
        <v>202</v>
      </c>
      <c r="B149" s="111"/>
      <c r="C149" s="115" t="s">
        <v>84</v>
      </c>
      <c r="D149" s="116"/>
      <c r="E149" s="116"/>
      <c r="F149" s="116"/>
      <c r="G149" s="117"/>
      <c r="H149" s="29" t="s">
        <v>3</v>
      </c>
      <c r="I149" s="30">
        <v>0</v>
      </c>
      <c r="J149" s="31">
        <v>0</v>
      </c>
      <c r="K149" s="31">
        <v>0</v>
      </c>
      <c r="L149" s="31" t="s">
        <v>480</v>
      </c>
      <c r="M149" s="31">
        <v>0</v>
      </c>
      <c r="N149" s="31" t="s">
        <v>480</v>
      </c>
      <c r="O149" s="31">
        <v>0</v>
      </c>
      <c r="P149" s="31" t="s">
        <v>480</v>
      </c>
      <c r="Q149" s="31">
        <v>0</v>
      </c>
      <c r="R149" s="32" t="s">
        <v>480</v>
      </c>
      <c r="S149" s="33">
        <f t="shared" si="60"/>
        <v>0</v>
      </c>
    </row>
    <row r="150" spans="1:22" s="15" customFormat="1" ht="25.5" customHeight="1" x14ac:dyDescent="0.2">
      <c r="A150" s="110" t="s">
        <v>203</v>
      </c>
      <c r="B150" s="111"/>
      <c r="C150" s="112" t="s">
        <v>85</v>
      </c>
      <c r="D150" s="113"/>
      <c r="E150" s="113"/>
      <c r="F150" s="113"/>
      <c r="G150" s="114"/>
      <c r="H150" s="29" t="s">
        <v>3</v>
      </c>
      <c r="I150" s="30">
        <f>I92</f>
        <v>2.8962323728813715</v>
      </c>
      <c r="J150" s="31">
        <f t="shared" ref="J150:K150" si="61">J92</f>
        <v>3.1012413995762671</v>
      </c>
      <c r="K150" s="31">
        <f t="shared" si="61"/>
        <v>3.7604514200124992</v>
      </c>
      <c r="L150" s="31" t="s">
        <v>480</v>
      </c>
      <c r="M150" s="31">
        <f t="shared" ref="M150" si="62">M92</f>
        <v>3.7826004788763612</v>
      </c>
      <c r="N150" s="31" t="s">
        <v>480</v>
      </c>
      <c r="O150" s="31">
        <f t="shared" ref="O150" si="63">O92</f>
        <v>3.8158873630904822</v>
      </c>
      <c r="P150" s="31" t="s">
        <v>480</v>
      </c>
      <c r="Q150" s="31">
        <f t="shared" ref="Q150" si="64">Q92</f>
        <v>3.8494671718856779</v>
      </c>
      <c r="R150" s="32" t="s">
        <v>480</v>
      </c>
      <c r="S150" s="33">
        <f t="shared" si="60"/>
        <v>11.447955013852521</v>
      </c>
    </row>
    <row r="151" spans="1:22" s="15" customFormat="1" ht="25.5" customHeight="1" x14ac:dyDescent="0.2">
      <c r="A151" s="110" t="s">
        <v>204</v>
      </c>
      <c r="B151" s="111"/>
      <c r="C151" s="118" t="s">
        <v>205</v>
      </c>
      <c r="D151" s="119"/>
      <c r="E151" s="119"/>
      <c r="F151" s="119"/>
      <c r="G151" s="120"/>
      <c r="H151" s="29" t="s">
        <v>3</v>
      </c>
      <c r="I151" s="30">
        <v>0</v>
      </c>
      <c r="J151" s="31">
        <v>0</v>
      </c>
      <c r="K151" s="31">
        <v>0</v>
      </c>
      <c r="L151" s="31" t="s">
        <v>480</v>
      </c>
      <c r="M151" s="31">
        <v>0</v>
      </c>
      <c r="N151" s="31" t="s">
        <v>480</v>
      </c>
      <c r="O151" s="31">
        <v>0</v>
      </c>
      <c r="P151" s="31" t="s">
        <v>480</v>
      </c>
      <c r="Q151" s="31">
        <v>0</v>
      </c>
      <c r="R151" s="32" t="s">
        <v>480</v>
      </c>
      <c r="S151" s="33">
        <f t="shared" si="60"/>
        <v>0</v>
      </c>
    </row>
    <row r="152" spans="1:22" s="15" customFormat="1" ht="25.5" customHeight="1" x14ac:dyDescent="0.2">
      <c r="A152" s="110" t="s">
        <v>206</v>
      </c>
      <c r="B152" s="111"/>
      <c r="C152" s="112" t="s">
        <v>210</v>
      </c>
      <c r="D152" s="113"/>
      <c r="E152" s="113"/>
      <c r="F152" s="113"/>
      <c r="G152" s="114"/>
      <c r="H152" s="29" t="s">
        <v>3</v>
      </c>
      <c r="I152" s="30">
        <v>0</v>
      </c>
      <c r="J152" s="31">
        <v>0</v>
      </c>
      <c r="K152" s="31">
        <v>0</v>
      </c>
      <c r="L152" s="31" t="s">
        <v>480</v>
      </c>
      <c r="M152" s="31">
        <f>M136</f>
        <v>79.050017500000266</v>
      </c>
      <c r="N152" s="31" t="s">
        <v>480</v>
      </c>
      <c r="O152" s="31">
        <f>O136</f>
        <v>52.26421779999918</v>
      </c>
      <c r="P152" s="31" t="s">
        <v>480</v>
      </c>
      <c r="Q152" s="31">
        <f>Q136</f>
        <v>52.217275999998947</v>
      </c>
      <c r="R152" s="32" t="s">
        <v>480</v>
      </c>
      <c r="S152" s="33">
        <f>M152+O152+Q152</f>
        <v>183.53151129999839</v>
      </c>
      <c r="V152" s="87"/>
    </row>
    <row r="153" spans="1:22" s="15" customFormat="1" ht="25.5" customHeight="1" x14ac:dyDescent="0.2">
      <c r="A153" s="110" t="s">
        <v>207</v>
      </c>
      <c r="B153" s="111"/>
      <c r="C153" s="112" t="s">
        <v>211</v>
      </c>
      <c r="D153" s="113"/>
      <c r="E153" s="113"/>
      <c r="F153" s="113"/>
      <c r="G153" s="114"/>
      <c r="H153" s="29" t="s">
        <v>3</v>
      </c>
      <c r="I153" s="30">
        <v>0</v>
      </c>
      <c r="J153" s="31">
        <v>0</v>
      </c>
      <c r="K153" s="31">
        <v>0</v>
      </c>
      <c r="L153" s="31" t="s">
        <v>480</v>
      </c>
      <c r="M153" s="31">
        <v>0</v>
      </c>
      <c r="N153" s="31" t="s">
        <v>480</v>
      </c>
      <c r="O153" s="31">
        <v>0</v>
      </c>
      <c r="P153" s="31" t="s">
        <v>480</v>
      </c>
      <c r="Q153" s="31">
        <v>0</v>
      </c>
      <c r="R153" s="32" t="s">
        <v>480</v>
      </c>
      <c r="S153" s="33">
        <f t="shared" si="60"/>
        <v>0</v>
      </c>
    </row>
    <row r="154" spans="1:22" s="15" customFormat="1" ht="25.5" customHeight="1" x14ac:dyDescent="0.2">
      <c r="A154" s="110" t="s">
        <v>208</v>
      </c>
      <c r="B154" s="111"/>
      <c r="C154" s="112" t="s">
        <v>212</v>
      </c>
      <c r="D154" s="113"/>
      <c r="E154" s="113"/>
      <c r="F154" s="113"/>
      <c r="G154" s="114"/>
      <c r="H154" s="29" t="s">
        <v>3</v>
      </c>
      <c r="I154" s="30">
        <v>0</v>
      </c>
      <c r="J154" s="31">
        <v>0</v>
      </c>
      <c r="K154" s="31">
        <v>0</v>
      </c>
      <c r="L154" s="31" t="s">
        <v>480</v>
      </c>
      <c r="M154" s="31">
        <v>0</v>
      </c>
      <c r="N154" s="31" t="s">
        <v>480</v>
      </c>
      <c r="O154" s="31">
        <v>0</v>
      </c>
      <c r="P154" s="31" t="s">
        <v>480</v>
      </c>
      <c r="Q154" s="31">
        <v>0</v>
      </c>
      <c r="R154" s="32" t="s">
        <v>480</v>
      </c>
      <c r="S154" s="33">
        <f t="shared" si="60"/>
        <v>0</v>
      </c>
    </row>
    <row r="155" spans="1:22" s="15" customFormat="1" ht="25.5" customHeight="1" thickBot="1" x14ac:dyDescent="0.25">
      <c r="A155" s="121" t="s">
        <v>209</v>
      </c>
      <c r="B155" s="122"/>
      <c r="C155" s="126" t="s">
        <v>213</v>
      </c>
      <c r="D155" s="127"/>
      <c r="E155" s="127"/>
      <c r="F155" s="127"/>
      <c r="G155" s="128"/>
      <c r="H155" s="39" t="s">
        <v>3</v>
      </c>
      <c r="I155" s="40">
        <v>0</v>
      </c>
      <c r="J155" s="41">
        <v>0</v>
      </c>
      <c r="K155" s="41">
        <v>0</v>
      </c>
      <c r="L155" s="41" t="s">
        <v>480</v>
      </c>
      <c r="M155" s="41">
        <v>0</v>
      </c>
      <c r="N155" s="41" t="s">
        <v>480</v>
      </c>
      <c r="O155" s="41">
        <v>0</v>
      </c>
      <c r="P155" s="41" t="s">
        <v>480</v>
      </c>
      <c r="Q155" s="41">
        <v>0</v>
      </c>
      <c r="R155" s="42" t="s">
        <v>480</v>
      </c>
      <c r="S155" s="43">
        <f t="shared" si="60"/>
        <v>0</v>
      </c>
    </row>
    <row r="156" spans="1:22" s="15" customFormat="1" ht="25.5" customHeight="1" x14ac:dyDescent="0.2">
      <c r="A156" s="183" t="s">
        <v>214</v>
      </c>
      <c r="B156" s="184"/>
      <c r="C156" s="177" t="s">
        <v>111</v>
      </c>
      <c r="D156" s="178"/>
      <c r="E156" s="178"/>
      <c r="F156" s="178"/>
      <c r="G156" s="179"/>
      <c r="H156" s="46" t="s">
        <v>480</v>
      </c>
      <c r="I156" s="47"/>
      <c r="J156" s="48"/>
      <c r="K156" s="48"/>
      <c r="L156" s="48" t="s">
        <v>480</v>
      </c>
      <c r="M156" s="48"/>
      <c r="N156" s="48" t="s">
        <v>480</v>
      </c>
      <c r="O156" s="48"/>
      <c r="P156" s="48" t="s">
        <v>480</v>
      </c>
      <c r="Q156" s="48"/>
      <c r="R156" s="49" t="s">
        <v>480</v>
      </c>
      <c r="S156" s="50">
        <f t="shared" si="60"/>
        <v>0</v>
      </c>
    </row>
    <row r="157" spans="1:22" s="15" customFormat="1" ht="25.5" customHeight="1" x14ac:dyDescent="0.2">
      <c r="A157" s="110" t="s">
        <v>215</v>
      </c>
      <c r="B157" s="111"/>
      <c r="C157" s="112" t="s">
        <v>221</v>
      </c>
      <c r="D157" s="113"/>
      <c r="E157" s="113"/>
      <c r="F157" s="113"/>
      <c r="G157" s="114"/>
      <c r="H157" s="29" t="s">
        <v>3</v>
      </c>
      <c r="I157" s="30">
        <f>I106+I102+I66</f>
        <v>-703.23856692627055</v>
      </c>
      <c r="J157" s="31">
        <f t="shared" ref="J157:K157" si="65">J106+J102+J66</f>
        <v>-846.09799119709214</v>
      </c>
      <c r="K157" s="31">
        <f t="shared" si="65"/>
        <v>-290.62819854215445</v>
      </c>
      <c r="L157" s="31" t="s">
        <v>480</v>
      </c>
      <c r="M157" s="31">
        <f t="shared" ref="M157" si="66">M106+M102+M66</f>
        <v>140.20173781309185</v>
      </c>
      <c r="N157" s="31" t="s">
        <v>480</v>
      </c>
      <c r="O157" s="31">
        <f t="shared" ref="O157" si="67">O106+O102+O66</f>
        <v>106.73565084577989</v>
      </c>
      <c r="P157" s="31" t="s">
        <v>480</v>
      </c>
      <c r="Q157" s="31">
        <f t="shared" ref="Q157" si="68">Q106+Q102+Q66</f>
        <v>104.53367681771162</v>
      </c>
      <c r="R157" s="32" t="s">
        <v>480</v>
      </c>
      <c r="S157" s="33">
        <f t="shared" si="60"/>
        <v>351.47106547658336</v>
      </c>
    </row>
    <row r="158" spans="1:22" s="15" customFormat="1" ht="25.5" customHeight="1" x14ac:dyDescent="0.2">
      <c r="A158" s="110" t="s">
        <v>216</v>
      </c>
      <c r="B158" s="111"/>
      <c r="C158" s="112" t="s">
        <v>222</v>
      </c>
      <c r="D158" s="113"/>
      <c r="E158" s="113"/>
      <c r="F158" s="113"/>
      <c r="G158" s="114"/>
      <c r="H158" s="29" t="s">
        <v>3</v>
      </c>
      <c r="I158" s="30">
        <v>0</v>
      </c>
      <c r="J158" s="31">
        <v>0</v>
      </c>
      <c r="K158" s="31">
        <v>0</v>
      </c>
      <c r="L158" s="31" t="s">
        <v>480</v>
      </c>
      <c r="M158" s="31">
        <v>0</v>
      </c>
      <c r="N158" s="31" t="s">
        <v>480</v>
      </c>
      <c r="O158" s="31">
        <v>0</v>
      </c>
      <c r="P158" s="31" t="s">
        <v>480</v>
      </c>
      <c r="Q158" s="31">
        <v>0</v>
      </c>
      <c r="R158" s="32" t="s">
        <v>480</v>
      </c>
      <c r="S158" s="33">
        <f t="shared" si="60"/>
        <v>0</v>
      </c>
    </row>
    <row r="159" spans="1:22" s="15" customFormat="1" ht="25.5" customHeight="1" x14ac:dyDescent="0.2">
      <c r="A159" s="110" t="s">
        <v>217</v>
      </c>
      <c r="B159" s="111"/>
      <c r="C159" s="115" t="s">
        <v>223</v>
      </c>
      <c r="D159" s="116"/>
      <c r="E159" s="116"/>
      <c r="F159" s="116"/>
      <c r="G159" s="117"/>
      <c r="H159" s="29" t="s">
        <v>3</v>
      </c>
      <c r="I159" s="30">
        <v>0</v>
      </c>
      <c r="J159" s="31">
        <v>0</v>
      </c>
      <c r="K159" s="31">
        <v>0</v>
      </c>
      <c r="L159" s="31" t="s">
        <v>480</v>
      </c>
      <c r="M159" s="31">
        <v>0</v>
      </c>
      <c r="N159" s="31" t="s">
        <v>480</v>
      </c>
      <c r="O159" s="31">
        <v>0</v>
      </c>
      <c r="P159" s="31" t="s">
        <v>480</v>
      </c>
      <c r="Q159" s="31">
        <v>0</v>
      </c>
      <c r="R159" s="32" t="s">
        <v>480</v>
      </c>
      <c r="S159" s="33">
        <f t="shared" si="60"/>
        <v>0</v>
      </c>
    </row>
    <row r="160" spans="1:22" s="15" customFormat="1" ht="25.5" customHeight="1" x14ac:dyDescent="0.2">
      <c r="A160" s="110" t="s">
        <v>218</v>
      </c>
      <c r="B160" s="111"/>
      <c r="C160" s="112" t="s">
        <v>224</v>
      </c>
      <c r="D160" s="113"/>
      <c r="E160" s="113"/>
      <c r="F160" s="113"/>
      <c r="G160" s="114"/>
      <c r="H160" s="29" t="s">
        <v>3</v>
      </c>
      <c r="I160" s="30">
        <v>0</v>
      </c>
      <c r="J160" s="31">
        <v>0</v>
      </c>
      <c r="K160" s="31">
        <v>0</v>
      </c>
      <c r="L160" s="31" t="s">
        <v>480</v>
      </c>
      <c r="M160" s="31">
        <v>0</v>
      </c>
      <c r="N160" s="31" t="s">
        <v>480</v>
      </c>
      <c r="O160" s="31">
        <v>0</v>
      </c>
      <c r="P160" s="31" t="s">
        <v>480</v>
      </c>
      <c r="Q160" s="31">
        <v>0</v>
      </c>
      <c r="R160" s="32" t="s">
        <v>480</v>
      </c>
      <c r="S160" s="33">
        <f t="shared" si="60"/>
        <v>0</v>
      </c>
    </row>
    <row r="161" spans="1:22" s="15" customFormat="1" ht="25.5" customHeight="1" x14ac:dyDescent="0.2">
      <c r="A161" s="110" t="s">
        <v>219</v>
      </c>
      <c r="B161" s="111"/>
      <c r="C161" s="115" t="s">
        <v>225</v>
      </c>
      <c r="D161" s="116"/>
      <c r="E161" s="116"/>
      <c r="F161" s="116"/>
      <c r="G161" s="117"/>
      <c r="H161" s="29" t="s">
        <v>3</v>
      </c>
      <c r="I161" s="30">
        <v>0</v>
      </c>
      <c r="J161" s="31">
        <v>0</v>
      </c>
      <c r="K161" s="31">
        <v>0</v>
      </c>
      <c r="L161" s="31" t="s">
        <v>480</v>
      </c>
      <c r="M161" s="31">
        <v>0</v>
      </c>
      <c r="N161" s="31" t="s">
        <v>480</v>
      </c>
      <c r="O161" s="31">
        <v>0</v>
      </c>
      <c r="P161" s="31" t="s">
        <v>480</v>
      </c>
      <c r="Q161" s="31">
        <v>0</v>
      </c>
      <c r="R161" s="32" t="s">
        <v>480</v>
      </c>
      <c r="S161" s="33">
        <f t="shared" si="60"/>
        <v>0</v>
      </c>
    </row>
    <row r="162" spans="1:22" s="15" customFormat="1" ht="25.5" customHeight="1" thickBot="1" x14ac:dyDescent="0.25">
      <c r="A162" s="121" t="s">
        <v>220</v>
      </c>
      <c r="B162" s="122"/>
      <c r="C162" s="126" t="s">
        <v>226</v>
      </c>
      <c r="D162" s="127"/>
      <c r="E162" s="127"/>
      <c r="F162" s="127"/>
      <c r="G162" s="128"/>
      <c r="H162" s="39" t="s">
        <v>480</v>
      </c>
      <c r="I162" s="40">
        <f>I160/I157</f>
        <v>0</v>
      </c>
      <c r="J162" s="41">
        <f>J160/J157</f>
        <v>0</v>
      </c>
      <c r="K162" s="41">
        <v>0</v>
      </c>
      <c r="L162" s="41" t="s">
        <v>480</v>
      </c>
      <c r="M162" s="41">
        <v>0</v>
      </c>
      <c r="N162" s="41" t="s">
        <v>480</v>
      </c>
      <c r="O162" s="41">
        <v>0</v>
      </c>
      <c r="P162" s="41" t="s">
        <v>480</v>
      </c>
      <c r="Q162" s="41">
        <v>0</v>
      </c>
      <c r="R162" s="42" t="s">
        <v>480</v>
      </c>
      <c r="S162" s="43">
        <f t="shared" si="60"/>
        <v>0</v>
      </c>
    </row>
    <row r="163" spans="1:22" s="23" customFormat="1" ht="25.5" customHeight="1" thickBot="1" x14ac:dyDescent="0.25">
      <c r="A163" s="166" t="s">
        <v>227</v>
      </c>
      <c r="B163" s="167"/>
      <c r="C163" s="167"/>
      <c r="D163" s="167"/>
      <c r="E163" s="167"/>
      <c r="F163" s="167"/>
      <c r="G163" s="167"/>
      <c r="H163" s="167"/>
      <c r="I163" s="167"/>
      <c r="J163" s="167"/>
      <c r="K163" s="167"/>
      <c r="L163" s="167"/>
      <c r="M163" s="167"/>
      <c r="N163" s="167"/>
      <c r="O163" s="167"/>
      <c r="P163" s="167"/>
      <c r="Q163" s="167"/>
      <c r="R163" s="167"/>
      <c r="S163" s="168"/>
    </row>
    <row r="164" spans="1:22" s="15" customFormat="1" ht="25.5" customHeight="1" x14ac:dyDescent="0.2">
      <c r="A164" s="183" t="s">
        <v>228</v>
      </c>
      <c r="B164" s="184"/>
      <c r="C164" s="177" t="s">
        <v>229</v>
      </c>
      <c r="D164" s="178"/>
      <c r="E164" s="178"/>
      <c r="F164" s="178"/>
      <c r="G164" s="179"/>
      <c r="H164" s="29" t="s">
        <v>3</v>
      </c>
      <c r="I164" s="31">
        <f t="shared" ref="I164:J164" si="69">I173+I181</f>
        <v>4956.3242678630004</v>
      </c>
      <c r="J164" s="31">
        <f t="shared" si="69"/>
        <v>6246.9605663999992</v>
      </c>
      <c r="K164" s="31">
        <f t="shared" ref="K164:M164" si="70">K173+K181</f>
        <v>5694.2751305187439</v>
      </c>
      <c r="L164" s="31" t="s">
        <v>480</v>
      </c>
      <c r="M164" s="31">
        <f t="shared" si="70"/>
        <v>6335.2217173724712</v>
      </c>
      <c r="N164" s="31" t="s">
        <v>480</v>
      </c>
      <c r="O164" s="31">
        <f t="shared" ref="O164" si="71">O173+O181</f>
        <v>6625.3012559454965</v>
      </c>
      <c r="P164" s="31" t="s">
        <v>480</v>
      </c>
      <c r="Q164" s="31">
        <f t="shared" ref="Q164" si="72">Q173+Q181</f>
        <v>7188.7230323553922</v>
      </c>
      <c r="R164" s="31" t="s">
        <v>480</v>
      </c>
      <c r="S164" s="33">
        <f t="shared" ref="S164:S227" si="73">M164+O164+Q164</f>
        <v>20149.246005673362</v>
      </c>
      <c r="U164" s="87"/>
      <c r="V164" s="87"/>
    </row>
    <row r="165" spans="1:22" s="15" customFormat="1" ht="25.5" customHeight="1" x14ac:dyDescent="0.2">
      <c r="A165" s="110" t="s">
        <v>230</v>
      </c>
      <c r="B165" s="111"/>
      <c r="C165" s="112" t="s">
        <v>43</v>
      </c>
      <c r="D165" s="113"/>
      <c r="E165" s="113"/>
      <c r="F165" s="113"/>
      <c r="G165" s="114"/>
      <c r="H165" s="29" t="s">
        <v>3</v>
      </c>
      <c r="I165" s="31">
        <v>0</v>
      </c>
      <c r="J165" s="31">
        <v>0</v>
      </c>
      <c r="K165" s="31">
        <v>0</v>
      </c>
      <c r="L165" s="31" t="s">
        <v>480</v>
      </c>
      <c r="M165" s="31">
        <v>0</v>
      </c>
      <c r="N165" s="31" t="s">
        <v>480</v>
      </c>
      <c r="O165" s="31">
        <v>0</v>
      </c>
      <c r="P165" s="31" t="s">
        <v>480</v>
      </c>
      <c r="Q165" s="31">
        <v>0</v>
      </c>
      <c r="R165" s="31" t="s">
        <v>480</v>
      </c>
      <c r="S165" s="33">
        <f t="shared" si="73"/>
        <v>0</v>
      </c>
      <c r="U165" s="87"/>
      <c r="V165" s="87"/>
    </row>
    <row r="166" spans="1:22" s="15" customFormat="1" ht="25.5" customHeight="1" x14ac:dyDescent="0.2">
      <c r="A166" s="110" t="s">
        <v>231</v>
      </c>
      <c r="B166" s="111"/>
      <c r="C166" s="115" t="s">
        <v>44</v>
      </c>
      <c r="D166" s="116"/>
      <c r="E166" s="116"/>
      <c r="F166" s="116"/>
      <c r="G166" s="117"/>
      <c r="H166" s="29" t="s">
        <v>3</v>
      </c>
      <c r="I166" s="31">
        <v>0</v>
      </c>
      <c r="J166" s="31">
        <v>0</v>
      </c>
      <c r="K166" s="31">
        <v>0</v>
      </c>
      <c r="L166" s="31" t="s">
        <v>480</v>
      </c>
      <c r="M166" s="31">
        <v>0</v>
      </c>
      <c r="N166" s="31" t="s">
        <v>480</v>
      </c>
      <c r="O166" s="31">
        <v>0</v>
      </c>
      <c r="P166" s="31" t="s">
        <v>480</v>
      </c>
      <c r="Q166" s="31">
        <v>0</v>
      </c>
      <c r="R166" s="31" t="s">
        <v>480</v>
      </c>
      <c r="S166" s="33">
        <f t="shared" si="73"/>
        <v>0</v>
      </c>
      <c r="U166" s="87"/>
      <c r="V166" s="87"/>
    </row>
    <row r="167" spans="1:22" s="15" customFormat="1" ht="25.5" customHeight="1" x14ac:dyDescent="0.2">
      <c r="A167" s="110" t="s">
        <v>232</v>
      </c>
      <c r="B167" s="111"/>
      <c r="C167" s="115" t="s">
        <v>53</v>
      </c>
      <c r="D167" s="116"/>
      <c r="E167" s="116"/>
      <c r="F167" s="116"/>
      <c r="G167" s="117"/>
      <c r="H167" s="29" t="s">
        <v>3</v>
      </c>
      <c r="I167" s="31">
        <v>0</v>
      </c>
      <c r="J167" s="31">
        <v>0</v>
      </c>
      <c r="K167" s="31">
        <v>0</v>
      </c>
      <c r="L167" s="31" t="s">
        <v>480</v>
      </c>
      <c r="M167" s="31">
        <v>0</v>
      </c>
      <c r="N167" s="31" t="s">
        <v>480</v>
      </c>
      <c r="O167" s="31">
        <v>0</v>
      </c>
      <c r="P167" s="31" t="s">
        <v>480</v>
      </c>
      <c r="Q167" s="31">
        <v>0</v>
      </c>
      <c r="R167" s="31" t="s">
        <v>480</v>
      </c>
      <c r="S167" s="33">
        <f t="shared" si="73"/>
        <v>0</v>
      </c>
      <c r="U167" s="87"/>
      <c r="V167" s="87"/>
    </row>
    <row r="168" spans="1:22" s="15" customFormat="1" ht="25.5" customHeight="1" x14ac:dyDescent="0.2">
      <c r="A168" s="110" t="s">
        <v>233</v>
      </c>
      <c r="B168" s="111"/>
      <c r="C168" s="115" t="s">
        <v>54</v>
      </c>
      <c r="D168" s="116"/>
      <c r="E168" s="116"/>
      <c r="F168" s="116"/>
      <c r="G168" s="117"/>
      <c r="H168" s="29" t="s">
        <v>3</v>
      </c>
      <c r="I168" s="31">
        <v>0</v>
      </c>
      <c r="J168" s="31">
        <v>0</v>
      </c>
      <c r="K168" s="31">
        <v>0</v>
      </c>
      <c r="L168" s="31" t="s">
        <v>480</v>
      </c>
      <c r="M168" s="31">
        <v>0</v>
      </c>
      <c r="N168" s="31" t="s">
        <v>480</v>
      </c>
      <c r="O168" s="31">
        <v>0</v>
      </c>
      <c r="P168" s="31" t="s">
        <v>480</v>
      </c>
      <c r="Q168" s="31">
        <v>0</v>
      </c>
      <c r="R168" s="31" t="s">
        <v>480</v>
      </c>
      <c r="S168" s="33">
        <f t="shared" si="73"/>
        <v>0</v>
      </c>
      <c r="U168" s="87"/>
      <c r="V168" s="87"/>
    </row>
    <row r="169" spans="1:22" s="15" customFormat="1" ht="25.5" customHeight="1" x14ac:dyDescent="0.2">
      <c r="A169" s="110" t="s">
        <v>234</v>
      </c>
      <c r="B169" s="111"/>
      <c r="C169" s="112" t="s">
        <v>55</v>
      </c>
      <c r="D169" s="113"/>
      <c r="E169" s="113"/>
      <c r="F169" s="113"/>
      <c r="G169" s="114"/>
      <c r="H169" s="29" t="s">
        <v>3</v>
      </c>
      <c r="I169" s="31">
        <v>0</v>
      </c>
      <c r="J169" s="31">
        <v>0</v>
      </c>
      <c r="K169" s="31">
        <v>0</v>
      </c>
      <c r="L169" s="31" t="s">
        <v>480</v>
      </c>
      <c r="M169" s="31">
        <v>0</v>
      </c>
      <c r="N169" s="31" t="s">
        <v>480</v>
      </c>
      <c r="O169" s="31">
        <v>0</v>
      </c>
      <c r="P169" s="31" t="s">
        <v>480</v>
      </c>
      <c r="Q169" s="31">
        <v>0</v>
      </c>
      <c r="R169" s="31" t="s">
        <v>480</v>
      </c>
      <c r="S169" s="33">
        <f t="shared" si="73"/>
        <v>0</v>
      </c>
      <c r="U169" s="87"/>
      <c r="V169" s="87"/>
    </row>
    <row r="170" spans="1:22" s="15" customFormat="1" ht="25.5" customHeight="1" x14ac:dyDescent="0.2">
      <c r="A170" s="110" t="s">
        <v>235</v>
      </c>
      <c r="B170" s="111"/>
      <c r="C170" s="112" t="s">
        <v>77</v>
      </c>
      <c r="D170" s="113"/>
      <c r="E170" s="113"/>
      <c r="F170" s="113"/>
      <c r="G170" s="114"/>
      <c r="H170" s="29" t="s">
        <v>3</v>
      </c>
      <c r="I170" s="31">
        <v>0</v>
      </c>
      <c r="J170" s="31">
        <v>0</v>
      </c>
      <c r="K170" s="31">
        <v>0</v>
      </c>
      <c r="L170" s="31" t="s">
        <v>480</v>
      </c>
      <c r="M170" s="31">
        <v>0</v>
      </c>
      <c r="N170" s="31" t="s">
        <v>480</v>
      </c>
      <c r="O170" s="31">
        <v>0</v>
      </c>
      <c r="P170" s="31" t="s">
        <v>480</v>
      </c>
      <c r="Q170" s="31">
        <v>0</v>
      </c>
      <c r="R170" s="31" t="s">
        <v>480</v>
      </c>
      <c r="S170" s="33">
        <f t="shared" si="73"/>
        <v>0</v>
      </c>
      <c r="U170" s="87"/>
      <c r="V170" s="87"/>
    </row>
    <row r="171" spans="1:22" s="15" customFormat="1" ht="25.5" customHeight="1" x14ac:dyDescent="0.2">
      <c r="A171" s="110" t="s">
        <v>236</v>
      </c>
      <c r="B171" s="111"/>
      <c r="C171" s="112" t="s">
        <v>78</v>
      </c>
      <c r="D171" s="113"/>
      <c r="E171" s="113"/>
      <c r="F171" s="113"/>
      <c r="G171" s="114"/>
      <c r="H171" s="29" t="s">
        <v>3</v>
      </c>
      <c r="I171" s="31">
        <v>0</v>
      </c>
      <c r="J171" s="31">
        <v>0</v>
      </c>
      <c r="K171" s="31">
        <v>0</v>
      </c>
      <c r="L171" s="31" t="s">
        <v>480</v>
      </c>
      <c r="M171" s="31">
        <v>0</v>
      </c>
      <c r="N171" s="31" t="s">
        <v>480</v>
      </c>
      <c r="O171" s="31">
        <v>0</v>
      </c>
      <c r="P171" s="31" t="s">
        <v>480</v>
      </c>
      <c r="Q171" s="31">
        <v>0</v>
      </c>
      <c r="R171" s="31" t="s">
        <v>480</v>
      </c>
      <c r="S171" s="33">
        <f t="shared" si="73"/>
        <v>0</v>
      </c>
      <c r="U171" s="87"/>
      <c r="V171" s="87"/>
    </row>
    <row r="172" spans="1:22" s="15" customFormat="1" ht="25.5" customHeight="1" x14ac:dyDescent="0.2">
      <c r="A172" s="110" t="s">
        <v>237</v>
      </c>
      <c r="B172" s="111"/>
      <c r="C172" s="112" t="s">
        <v>79</v>
      </c>
      <c r="D172" s="113"/>
      <c r="E172" s="113"/>
      <c r="F172" s="113"/>
      <c r="G172" s="114"/>
      <c r="H172" s="29" t="s">
        <v>3</v>
      </c>
      <c r="I172" s="31">
        <v>0</v>
      </c>
      <c r="J172" s="31">
        <v>0</v>
      </c>
      <c r="K172" s="31">
        <v>0</v>
      </c>
      <c r="L172" s="31" t="s">
        <v>480</v>
      </c>
      <c r="M172" s="31">
        <v>0</v>
      </c>
      <c r="N172" s="31" t="s">
        <v>480</v>
      </c>
      <c r="O172" s="31">
        <v>0</v>
      </c>
      <c r="P172" s="31" t="s">
        <v>480</v>
      </c>
      <c r="Q172" s="31">
        <v>0</v>
      </c>
      <c r="R172" s="31" t="s">
        <v>480</v>
      </c>
      <c r="S172" s="33">
        <f t="shared" si="73"/>
        <v>0</v>
      </c>
      <c r="U172" s="87"/>
      <c r="V172" s="87"/>
    </row>
    <row r="173" spans="1:22" s="15" customFormat="1" ht="25.5" customHeight="1" x14ac:dyDescent="0.2">
      <c r="A173" s="110" t="s">
        <v>238</v>
      </c>
      <c r="B173" s="111"/>
      <c r="C173" s="112" t="s">
        <v>80</v>
      </c>
      <c r="D173" s="113"/>
      <c r="E173" s="113"/>
      <c r="F173" s="113"/>
      <c r="G173" s="114"/>
      <c r="H173" s="29" t="s">
        <v>3</v>
      </c>
      <c r="I173" s="31">
        <f>'[3]Ф8 Приток факт'!$H$14/1000</f>
        <v>4928.2622870499999</v>
      </c>
      <c r="J173" s="31">
        <f>'[4]Ф8 Приток факт'!$J$18/1000</f>
        <v>5343.1682344299988</v>
      </c>
      <c r="K173" s="31">
        <f>'[5]Ф7 Приток БП утв.'!$J$18/1000</f>
        <v>5689.6845888147291</v>
      </c>
      <c r="L173" s="31" t="s">
        <v>480</v>
      </c>
      <c r="M173" s="31">
        <f>'[5]Ф7 Приток БП утв.'!$AY$18/1000+M369</f>
        <v>6330.6041373778198</v>
      </c>
      <c r="N173" s="31" t="s">
        <v>480</v>
      </c>
      <c r="O173" s="31">
        <f>'[5]Ф7 Приток БП утв.'!$AZ$18/1000+O369</f>
        <v>6620.6430412468917</v>
      </c>
      <c r="P173" s="31" t="s">
        <v>480</v>
      </c>
      <c r="Q173" s="31">
        <f>'[5]Ф7 Приток БП утв.'!$BA$18/1000+Q369</f>
        <v>7184.0238253674406</v>
      </c>
      <c r="R173" s="31" t="s">
        <v>480</v>
      </c>
      <c r="S173" s="33">
        <f t="shared" si="73"/>
        <v>20135.271003992151</v>
      </c>
      <c r="U173" s="87"/>
      <c r="V173" s="87"/>
    </row>
    <row r="174" spans="1:22" s="15" customFormat="1" ht="25.5" customHeight="1" x14ac:dyDescent="0.2">
      <c r="A174" s="110" t="s">
        <v>239</v>
      </c>
      <c r="B174" s="111"/>
      <c r="C174" s="112" t="s">
        <v>81</v>
      </c>
      <c r="D174" s="113"/>
      <c r="E174" s="113"/>
      <c r="F174" s="113"/>
      <c r="G174" s="114"/>
      <c r="H174" s="29" t="s">
        <v>3</v>
      </c>
      <c r="I174" s="31">
        <v>0</v>
      </c>
      <c r="J174" s="31">
        <v>0</v>
      </c>
      <c r="K174" s="31">
        <v>0</v>
      </c>
      <c r="L174" s="31" t="s">
        <v>480</v>
      </c>
      <c r="M174" s="31">
        <v>0</v>
      </c>
      <c r="N174" s="31" t="s">
        <v>480</v>
      </c>
      <c r="O174" s="31">
        <v>0</v>
      </c>
      <c r="P174" s="31" t="s">
        <v>480</v>
      </c>
      <c r="Q174" s="31">
        <v>0</v>
      </c>
      <c r="R174" s="31" t="s">
        <v>480</v>
      </c>
      <c r="S174" s="33">
        <f t="shared" si="73"/>
        <v>0</v>
      </c>
      <c r="U174" s="87"/>
      <c r="V174" s="87"/>
    </row>
    <row r="175" spans="1:22" s="15" customFormat="1" ht="25.5" customHeight="1" x14ac:dyDescent="0.2">
      <c r="A175" s="110" t="s">
        <v>240</v>
      </c>
      <c r="B175" s="111"/>
      <c r="C175" s="112" t="s">
        <v>82</v>
      </c>
      <c r="D175" s="113"/>
      <c r="E175" s="113"/>
      <c r="F175" s="113"/>
      <c r="G175" s="114"/>
      <c r="H175" s="29" t="s">
        <v>3</v>
      </c>
      <c r="I175" s="31">
        <v>0</v>
      </c>
      <c r="J175" s="31">
        <v>0</v>
      </c>
      <c r="K175" s="31">
        <v>0</v>
      </c>
      <c r="L175" s="31" t="s">
        <v>480</v>
      </c>
      <c r="M175" s="31">
        <v>0</v>
      </c>
      <c r="N175" s="31" t="s">
        <v>480</v>
      </c>
      <c r="O175" s="31">
        <v>0</v>
      </c>
      <c r="P175" s="31" t="s">
        <v>480</v>
      </c>
      <c r="Q175" s="31">
        <v>0</v>
      </c>
      <c r="R175" s="31" t="s">
        <v>480</v>
      </c>
      <c r="S175" s="33">
        <f t="shared" si="73"/>
        <v>0</v>
      </c>
      <c r="U175" s="87"/>
      <c r="V175" s="87"/>
    </row>
    <row r="176" spans="1:22" s="15" customFormat="1" ht="25.5" customHeight="1" x14ac:dyDescent="0.2">
      <c r="A176" s="110" t="s">
        <v>241</v>
      </c>
      <c r="B176" s="111"/>
      <c r="C176" s="115" t="s">
        <v>83</v>
      </c>
      <c r="D176" s="116"/>
      <c r="E176" s="116"/>
      <c r="F176" s="116"/>
      <c r="G176" s="117"/>
      <c r="H176" s="29" t="s">
        <v>3</v>
      </c>
      <c r="I176" s="31">
        <v>0</v>
      </c>
      <c r="J176" s="31">
        <v>0</v>
      </c>
      <c r="K176" s="31">
        <v>0</v>
      </c>
      <c r="L176" s="31" t="s">
        <v>480</v>
      </c>
      <c r="M176" s="31">
        <v>0</v>
      </c>
      <c r="N176" s="31" t="s">
        <v>480</v>
      </c>
      <c r="O176" s="31">
        <v>0</v>
      </c>
      <c r="P176" s="31" t="s">
        <v>480</v>
      </c>
      <c r="Q176" s="31">
        <v>0</v>
      </c>
      <c r="R176" s="31" t="s">
        <v>480</v>
      </c>
      <c r="S176" s="33">
        <f t="shared" si="73"/>
        <v>0</v>
      </c>
      <c r="U176" s="87"/>
      <c r="V176" s="87"/>
    </row>
    <row r="177" spans="1:22" s="15" customFormat="1" ht="25.5" customHeight="1" x14ac:dyDescent="0.2">
      <c r="A177" s="110" t="s">
        <v>242</v>
      </c>
      <c r="B177" s="111"/>
      <c r="C177" s="115" t="s">
        <v>84</v>
      </c>
      <c r="D177" s="116"/>
      <c r="E177" s="116"/>
      <c r="F177" s="116"/>
      <c r="G177" s="117"/>
      <c r="H177" s="29" t="s">
        <v>3</v>
      </c>
      <c r="I177" s="31">
        <v>0</v>
      </c>
      <c r="J177" s="31">
        <v>0</v>
      </c>
      <c r="K177" s="31">
        <v>0</v>
      </c>
      <c r="L177" s="31" t="s">
        <v>480</v>
      </c>
      <c r="M177" s="31">
        <v>0</v>
      </c>
      <c r="N177" s="31" t="s">
        <v>480</v>
      </c>
      <c r="O177" s="31">
        <v>0</v>
      </c>
      <c r="P177" s="31" t="s">
        <v>480</v>
      </c>
      <c r="Q177" s="31">
        <v>0</v>
      </c>
      <c r="R177" s="31" t="s">
        <v>480</v>
      </c>
      <c r="S177" s="33">
        <f t="shared" si="73"/>
        <v>0</v>
      </c>
      <c r="U177" s="87"/>
      <c r="V177" s="87"/>
    </row>
    <row r="178" spans="1:22" s="15" customFormat="1" ht="25.5" customHeight="1" x14ac:dyDescent="0.2">
      <c r="A178" s="110" t="s">
        <v>243</v>
      </c>
      <c r="B178" s="111"/>
      <c r="C178" s="112" t="s">
        <v>247</v>
      </c>
      <c r="D178" s="113"/>
      <c r="E178" s="113"/>
      <c r="F178" s="113"/>
      <c r="G178" s="114"/>
      <c r="H178" s="29" t="s">
        <v>3</v>
      </c>
      <c r="I178" s="31">
        <v>0</v>
      </c>
      <c r="J178" s="31">
        <v>0</v>
      </c>
      <c r="K178" s="31">
        <v>0</v>
      </c>
      <c r="L178" s="31" t="s">
        <v>480</v>
      </c>
      <c r="M178" s="31">
        <v>0</v>
      </c>
      <c r="N178" s="31" t="s">
        <v>480</v>
      </c>
      <c r="O178" s="31">
        <v>0</v>
      </c>
      <c r="P178" s="31" t="s">
        <v>480</v>
      </c>
      <c r="Q178" s="31">
        <v>0</v>
      </c>
      <c r="R178" s="31" t="s">
        <v>480</v>
      </c>
      <c r="S178" s="33">
        <f t="shared" si="73"/>
        <v>0</v>
      </c>
      <c r="U178" s="87"/>
      <c r="V178" s="87"/>
    </row>
    <row r="179" spans="1:22" s="15" customFormat="1" ht="25.5" customHeight="1" x14ac:dyDescent="0.2">
      <c r="A179" s="110" t="s">
        <v>244</v>
      </c>
      <c r="B179" s="111"/>
      <c r="C179" s="115" t="s">
        <v>248</v>
      </c>
      <c r="D179" s="116"/>
      <c r="E179" s="116"/>
      <c r="F179" s="116"/>
      <c r="G179" s="117"/>
      <c r="H179" s="29" t="s">
        <v>3</v>
      </c>
      <c r="I179" s="31">
        <v>0</v>
      </c>
      <c r="J179" s="31">
        <v>0</v>
      </c>
      <c r="K179" s="31">
        <v>0</v>
      </c>
      <c r="L179" s="31" t="s">
        <v>480</v>
      </c>
      <c r="M179" s="31">
        <v>0</v>
      </c>
      <c r="N179" s="31" t="s">
        <v>480</v>
      </c>
      <c r="O179" s="31">
        <v>0</v>
      </c>
      <c r="P179" s="31" t="s">
        <v>480</v>
      </c>
      <c r="Q179" s="31">
        <v>0</v>
      </c>
      <c r="R179" s="31" t="s">
        <v>480</v>
      </c>
      <c r="S179" s="33">
        <f t="shared" si="73"/>
        <v>0</v>
      </c>
      <c r="U179" s="87"/>
      <c r="V179" s="87"/>
    </row>
    <row r="180" spans="1:22" s="15" customFormat="1" ht="25.5" customHeight="1" x14ac:dyDescent="0.2">
      <c r="A180" s="110" t="s">
        <v>245</v>
      </c>
      <c r="B180" s="111"/>
      <c r="C180" s="115" t="s">
        <v>249</v>
      </c>
      <c r="D180" s="116"/>
      <c r="E180" s="116"/>
      <c r="F180" s="116"/>
      <c r="G180" s="117"/>
      <c r="H180" s="29" t="s">
        <v>3</v>
      </c>
      <c r="I180" s="31">
        <v>0</v>
      </c>
      <c r="J180" s="31">
        <v>0</v>
      </c>
      <c r="K180" s="31">
        <v>0</v>
      </c>
      <c r="L180" s="31" t="s">
        <v>480</v>
      </c>
      <c r="M180" s="31">
        <v>0</v>
      </c>
      <c r="N180" s="31" t="s">
        <v>480</v>
      </c>
      <c r="O180" s="31">
        <v>0</v>
      </c>
      <c r="P180" s="31" t="s">
        <v>480</v>
      </c>
      <c r="Q180" s="31">
        <v>0</v>
      </c>
      <c r="R180" s="31" t="s">
        <v>480</v>
      </c>
      <c r="S180" s="33">
        <f t="shared" si="73"/>
        <v>0</v>
      </c>
      <c r="U180" s="87"/>
      <c r="V180" s="87"/>
    </row>
    <row r="181" spans="1:22" s="15" customFormat="1" ht="25.5" customHeight="1" x14ac:dyDescent="0.2">
      <c r="A181" s="110" t="s">
        <v>246</v>
      </c>
      <c r="B181" s="111"/>
      <c r="C181" s="112" t="s">
        <v>85</v>
      </c>
      <c r="D181" s="113"/>
      <c r="E181" s="113"/>
      <c r="F181" s="113"/>
      <c r="G181" s="114"/>
      <c r="H181" s="29" t="s">
        <v>3</v>
      </c>
      <c r="I181" s="31">
        <f>('[3]Ф8 Приток факт'!$H$13-'[3]Ф8 Приток факт'!$H$14)/1000</f>
        <v>28.06198081300035</v>
      </c>
      <c r="J181" s="31">
        <f>('[4]Ф8 Приток факт'!$J$13-'[4]Ф8 Приток факт'!$J$18)/1000</f>
        <v>903.79233197000065</v>
      </c>
      <c r="K181" s="31">
        <f>('[5]Ф7 Приток БП утв.'!$J$13-'[5]Ф7 Приток БП утв.'!$J$18)/1000</f>
        <v>4.5905417040148748</v>
      </c>
      <c r="L181" s="31" t="s">
        <v>480</v>
      </c>
      <c r="M181" s="31">
        <f>('[5]Ф7 Приток БП утв.'!$AY$13-'[5]Ф7 Приток БП утв.'!$AY$18)/1000</f>
        <v>4.6175799946514893</v>
      </c>
      <c r="N181" s="31" t="s">
        <v>480</v>
      </c>
      <c r="O181" s="31">
        <f>('[5]Ф7 Приток БП утв.'!$AZ$13-'[5]Ф7 Приток БП утв.'!$AZ$18)/1000</f>
        <v>4.6582146986043078</v>
      </c>
      <c r="P181" s="31" t="s">
        <v>480</v>
      </c>
      <c r="Q181" s="31">
        <f>('[5]Ф7 Приток БП утв.'!$BA$13-'[5]Ф7 Приток БП утв.'!$BA$18)/1000</f>
        <v>4.6992069879518823</v>
      </c>
      <c r="R181" s="31" t="s">
        <v>480</v>
      </c>
      <c r="S181" s="33">
        <f t="shared" si="73"/>
        <v>13.975001681207679</v>
      </c>
      <c r="U181" s="87"/>
      <c r="V181" s="87"/>
    </row>
    <row r="182" spans="1:22" s="15" customFormat="1" ht="25.5" customHeight="1" x14ac:dyDescent="0.2">
      <c r="A182" s="110" t="s">
        <v>250</v>
      </c>
      <c r="B182" s="111"/>
      <c r="C182" s="118" t="s">
        <v>251</v>
      </c>
      <c r="D182" s="119"/>
      <c r="E182" s="119"/>
      <c r="F182" s="119"/>
      <c r="G182" s="120"/>
      <c r="H182" s="29" t="s">
        <v>3</v>
      </c>
      <c r="I182" s="31">
        <f t="shared" ref="I182:J182" si="74">I183+I184+I188+I189+I190+I191+I192+I193+I195+I196+I197+I198+I199</f>
        <v>4943.4919186290008</v>
      </c>
      <c r="J182" s="31">
        <f t="shared" si="74"/>
        <v>6251.3358393730014</v>
      </c>
      <c r="K182" s="31">
        <f t="shared" ref="K182:M182" si="75">K183+K184+K188+K189+K190+K191+K192+K193+K195+K196+K197+K198+K199</f>
        <v>6742.6667339461319</v>
      </c>
      <c r="L182" s="31" t="s">
        <v>480</v>
      </c>
      <c r="M182" s="31">
        <f t="shared" si="75"/>
        <v>7062.5163866670282</v>
      </c>
      <c r="N182" s="31" t="s">
        <v>480</v>
      </c>
      <c r="O182" s="31">
        <f t="shared" ref="O182" si="76">O183+O184+O188+O189+O190+O191+O192+O193+O195+O196+O197+O198+O199</f>
        <v>7341.1933433559871</v>
      </c>
      <c r="P182" s="31" t="s">
        <v>480</v>
      </c>
      <c r="Q182" s="31">
        <f t="shared" ref="Q182" si="77">Q183+Q184+Q188+Q189+Q190+Q191+Q192+Q193+Q195+Q196+Q197+Q198+Q199</f>
        <v>7914.3183674199026</v>
      </c>
      <c r="R182" s="31" t="s">
        <v>480</v>
      </c>
      <c r="S182" s="33">
        <f t="shared" si="73"/>
        <v>22318.028097442919</v>
      </c>
      <c r="U182" s="87"/>
      <c r="V182" s="87"/>
    </row>
    <row r="183" spans="1:22" s="15" customFormat="1" ht="25.5" customHeight="1" x14ac:dyDescent="0.2">
      <c r="A183" s="110" t="s">
        <v>252</v>
      </c>
      <c r="B183" s="111"/>
      <c r="C183" s="112" t="s">
        <v>270</v>
      </c>
      <c r="D183" s="113"/>
      <c r="E183" s="113"/>
      <c r="F183" s="113"/>
      <c r="G183" s="114"/>
      <c r="H183" s="29" t="s">
        <v>3</v>
      </c>
      <c r="I183" s="31">
        <v>0</v>
      </c>
      <c r="J183" s="31">
        <v>0</v>
      </c>
      <c r="K183" s="31">
        <v>0</v>
      </c>
      <c r="L183" s="31" t="s">
        <v>480</v>
      </c>
      <c r="M183" s="31">
        <v>0</v>
      </c>
      <c r="N183" s="31" t="s">
        <v>480</v>
      </c>
      <c r="O183" s="31">
        <v>0</v>
      </c>
      <c r="P183" s="31" t="s">
        <v>480</v>
      </c>
      <c r="Q183" s="31">
        <v>0</v>
      </c>
      <c r="R183" s="31" t="s">
        <v>480</v>
      </c>
      <c r="S183" s="33">
        <f t="shared" si="73"/>
        <v>0</v>
      </c>
      <c r="U183" s="87"/>
      <c r="V183" s="87"/>
    </row>
    <row r="184" spans="1:22" s="15" customFormat="1" ht="25.5" customHeight="1" x14ac:dyDescent="0.2">
      <c r="A184" s="110" t="s">
        <v>253</v>
      </c>
      <c r="B184" s="111"/>
      <c r="C184" s="112" t="s">
        <v>271</v>
      </c>
      <c r="D184" s="113"/>
      <c r="E184" s="113"/>
      <c r="F184" s="113"/>
      <c r="G184" s="114"/>
      <c r="H184" s="29" t="s">
        <v>3</v>
      </c>
      <c r="I184" s="31">
        <f t="shared" ref="I184:J184" si="78">I185+I186+I187</f>
        <v>1902.2438193899998</v>
      </c>
      <c r="J184" s="31">
        <f t="shared" si="78"/>
        <v>2233.8690014899998</v>
      </c>
      <c r="K184" s="31">
        <f t="shared" ref="K184:M184" si="79">K185+K186+K187</f>
        <v>2674.2036925848815</v>
      </c>
      <c r="L184" s="31" t="s">
        <v>480</v>
      </c>
      <c r="M184" s="31">
        <f t="shared" si="79"/>
        <v>2742.0438235505485</v>
      </c>
      <c r="N184" s="31" t="s">
        <v>480</v>
      </c>
      <c r="O184" s="31">
        <f t="shared" ref="O184" si="80">O185+O186+O187</f>
        <v>2851.5282374229191</v>
      </c>
      <c r="P184" s="31" t="s">
        <v>480</v>
      </c>
      <c r="Q184" s="31">
        <f t="shared" ref="Q184" si="81">Q185+Q186+Q187</f>
        <v>3233.2312775257569</v>
      </c>
      <c r="R184" s="31" t="s">
        <v>480</v>
      </c>
      <c r="S184" s="33">
        <f t="shared" si="73"/>
        <v>8826.8033384992232</v>
      </c>
      <c r="U184" s="87"/>
      <c r="V184" s="87"/>
    </row>
    <row r="185" spans="1:22" s="15" customFormat="1" ht="25.5" customHeight="1" x14ac:dyDescent="0.2">
      <c r="A185" s="110" t="s">
        <v>254</v>
      </c>
      <c r="B185" s="111"/>
      <c r="C185" s="115" t="s">
        <v>272</v>
      </c>
      <c r="D185" s="116"/>
      <c r="E185" s="116"/>
      <c r="F185" s="116"/>
      <c r="G185" s="117"/>
      <c r="H185" s="29" t="s">
        <v>3</v>
      </c>
      <c r="I185" s="31">
        <f>'[3]Ф8 Отток факт'!$H$21/1000</f>
        <v>1887.9442952499999</v>
      </c>
      <c r="J185" s="31">
        <f>'[4]Ф8 Отток факт'!$J$18/1000</f>
        <v>2226.60967575</v>
      </c>
      <c r="K185" s="31">
        <f>'[5]Ф7 Отток БП утв.'!$J$18/1000</f>
        <v>2647.3904720268902</v>
      </c>
      <c r="L185" s="31" t="s">
        <v>480</v>
      </c>
      <c r="M185" s="31">
        <f>'[5]Ф7 Отток БП утв.'!$AY$18/1000</f>
        <v>2714.2921402730271</v>
      </c>
      <c r="N185" s="31" t="s">
        <v>480</v>
      </c>
      <c r="O185" s="31">
        <f>'[5]Ф7 Отток БП утв.'!$AZ$18/1000</f>
        <v>2822.8052452306847</v>
      </c>
      <c r="P185" s="31" t="s">
        <v>480</v>
      </c>
      <c r="Q185" s="31">
        <f>'[5]Ф7 Отток БП утв.'!$BA$18/1000</f>
        <v>3203.5029806067942</v>
      </c>
      <c r="R185" s="31" t="s">
        <v>480</v>
      </c>
      <c r="S185" s="33">
        <f t="shared" si="73"/>
        <v>8740.600366110506</v>
      </c>
      <c r="U185" s="87"/>
      <c r="V185" s="87"/>
    </row>
    <row r="186" spans="1:22" s="15" customFormat="1" ht="25.5" customHeight="1" x14ac:dyDescent="0.2">
      <c r="A186" s="110" t="s">
        <v>255</v>
      </c>
      <c r="B186" s="111"/>
      <c r="C186" s="115" t="s">
        <v>273</v>
      </c>
      <c r="D186" s="116"/>
      <c r="E186" s="116"/>
      <c r="F186" s="116"/>
      <c r="G186" s="117"/>
      <c r="H186" s="29" t="s">
        <v>3</v>
      </c>
      <c r="I186" s="31">
        <f>'[3]Ф8 Отток факт'!$H$35/1000</f>
        <v>14.299524139999999</v>
      </c>
      <c r="J186" s="31">
        <f>'[4]Ф8 Отток факт'!$J$20/1000</f>
        <v>7.2593257399999995</v>
      </c>
      <c r="K186" s="31">
        <f>'[5]Ф7 Отток БП утв.'!$J$20/1000</f>
        <v>26.813220557991453</v>
      </c>
      <c r="L186" s="31" t="s">
        <v>480</v>
      </c>
      <c r="M186" s="31">
        <f>'[5]Ф7 Отток БП утв.'!$AY$20/1000</f>
        <v>27.751683277521185</v>
      </c>
      <c r="N186" s="31" t="s">
        <v>480</v>
      </c>
      <c r="O186" s="31">
        <f>'[5]Ф7 Отток БП утв.'!$AZ$20/1000</f>
        <v>28.722992192234422</v>
      </c>
      <c r="P186" s="31" t="s">
        <v>480</v>
      </c>
      <c r="Q186" s="31">
        <f>'[5]Ф7 Отток БП утв.'!$BA$20/1000</f>
        <v>29.728296918962627</v>
      </c>
      <c r="R186" s="31" t="s">
        <v>480</v>
      </c>
      <c r="S186" s="33">
        <f t="shared" si="73"/>
        <v>86.202972388718237</v>
      </c>
      <c r="U186" s="87"/>
      <c r="V186" s="87"/>
    </row>
    <row r="187" spans="1:22" s="15" customFormat="1" ht="25.5" customHeight="1" x14ac:dyDescent="0.2">
      <c r="A187" s="110" t="s">
        <v>256</v>
      </c>
      <c r="B187" s="111"/>
      <c r="C187" s="115" t="s">
        <v>274</v>
      </c>
      <c r="D187" s="116"/>
      <c r="E187" s="116"/>
      <c r="F187" s="116"/>
      <c r="G187" s="117"/>
      <c r="H187" s="29" t="s">
        <v>3</v>
      </c>
      <c r="I187" s="31">
        <v>0</v>
      </c>
      <c r="J187" s="31">
        <v>0</v>
      </c>
      <c r="K187" s="31">
        <v>0</v>
      </c>
      <c r="L187" s="31" t="s">
        <v>480</v>
      </c>
      <c r="M187" s="31">
        <v>0</v>
      </c>
      <c r="N187" s="31" t="s">
        <v>480</v>
      </c>
      <c r="O187" s="31">
        <v>0</v>
      </c>
      <c r="P187" s="31" t="s">
        <v>480</v>
      </c>
      <c r="Q187" s="31">
        <v>0</v>
      </c>
      <c r="R187" s="31" t="s">
        <v>480</v>
      </c>
      <c r="S187" s="33">
        <f t="shared" si="73"/>
        <v>0</v>
      </c>
      <c r="U187" s="87"/>
      <c r="V187" s="87"/>
    </row>
    <row r="188" spans="1:22" s="15" customFormat="1" ht="25.5" customHeight="1" x14ac:dyDescent="0.2">
      <c r="A188" s="110" t="s">
        <v>257</v>
      </c>
      <c r="B188" s="111"/>
      <c r="C188" s="112" t="s">
        <v>275</v>
      </c>
      <c r="D188" s="113"/>
      <c r="E188" s="113"/>
      <c r="F188" s="113"/>
      <c r="G188" s="114"/>
      <c r="H188" s="29" t="s">
        <v>3</v>
      </c>
      <c r="I188" s="31">
        <f>'[3]Ф8 Отток факт'!$H$55/1000</f>
        <v>0</v>
      </c>
      <c r="J188" s="31">
        <f>'[4]Ф8 Отток факт'!$J$38/1000</f>
        <v>0</v>
      </c>
      <c r="K188" s="31">
        <f>'[5]Ф7 Отток БП утв.'!$J$38/1000</f>
        <v>0.18581146738453422</v>
      </c>
      <c r="L188" s="31" t="s">
        <v>480</v>
      </c>
      <c r="M188" s="31">
        <f>'[5]Ф7 Отток БП утв.'!$AY$38/1000</f>
        <v>0</v>
      </c>
      <c r="N188" s="31" t="s">
        <v>480</v>
      </c>
      <c r="O188" s="31">
        <f>'[5]Ф7 Отток БП утв.'!$AZ$38/1000</f>
        <v>0</v>
      </c>
      <c r="P188" s="31" t="s">
        <v>480</v>
      </c>
      <c r="Q188" s="31">
        <f>'[5]Ф7 Отток БП утв.'!$BA$38/1000</f>
        <v>0</v>
      </c>
      <c r="R188" s="31" t="s">
        <v>480</v>
      </c>
      <c r="S188" s="33">
        <f t="shared" si="73"/>
        <v>0</v>
      </c>
      <c r="U188" s="87"/>
      <c r="V188" s="87"/>
    </row>
    <row r="189" spans="1:22" s="15" customFormat="1" ht="25.5" customHeight="1" x14ac:dyDescent="0.2">
      <c r="A189" s="110" t="s">
        <v>258</v>
      </c>
      <c r="B189" s="111"/>
      <c r="C189" s="112" t="s">
        <v>276</v>
      </c>
      <c r="D189" s="113"/>
      <c r="E189" s="113"/>
      <c r="F189" s="113"/>
      <c r="G189" s="114"/>
      <c r="H189" s="29" t="s">
        <v>3</v>
      </c>
      <c r="I189" s="31">
        <f>'[3]Ф8 Отток факт'!$H$58/1000</f>
        <v>2634.9844850989998</v>
      </c>
      <c r="J189" s="31">
        <f>'[4]Ф8 Отток факт'!$J$40/1000</f>
        <v>3023.8989021199995</v>
      </c>
      <c r="K189" s="31">
        <f>'[5]Ф7 Отток БП утв.'!$J$40/1000</f>
        <v>3041.4424778975276</v>
      </c>
      <c r="L189" s="31" t="s">
        <v>480</v>
      </c>
      <c r="M189" s="31">
        <f>'[5]Ф7 Отток БП утв.'!$AY$40/1000</f>
        <v>3027.7616759731241</v>
      </c>
      <c r="N189" s="31" t="s">
        <v>480</v>
      </c>
      <c r="O189" s="31">
        <f>'[5]Ф7 Отток БП утв.'!$AZ$40/1000</f>
        <v>3152.8919707999435</v>
      </c>
      <c r="P189" s="31" t="s">
        <v>480</v>
      </c>
      <c r="Q189" s="31">
        <f>'[5]Ф7 Отток БП утв.'!$BA$40/1000</f>
        <v>3547.6017969148756</v>
      </c>
      <c r="R189" s="31" t="s">
        <v>480</v>
      </c>
      <c r="S189" s="33">
        <f t="shared" si="73"/>
        <v>9728.2554436879436</v>
      </c>
      <c r="U189" s="87"/>
      <c r="V189" s="87"/>
    </row>
    <row r="190" spans="1:22" s="15" customFormat="1" ht="25.5" customHeight="1" x14ac:dyDescent="0.2">
      <c r="A190" s="110" t="s">
        <v>259</v>
      </c>
      <c r="B190" s="111"/>
      <c r="C190" s="112" t="s">
        <v>277</v>
      </c>
      <c r="D190" s="113"/>
      <c r="E190" s="113"/>
      <c r="F190" s="113"/>
      <c r="G190" s="114"/>
      <c r="H190" s="29" t="s">
        <v>3</v>
      </c>
      <c r="I190" s="31">
        <v>0</v>
      </c>
      <c r="J190" s="31">
        <v>0</v>
      </c>
      <c r="K190" s="31">
        <v>0</v>
      </c>
      <c r="L190" s="31" t="s">
        <v>480</v>
      </c>
      <c r="M190" s="31">
        <v>0</v>
      </c>
      <c r="N190" s="31" t="s">
        <v>480</v>
      </c>
      <c r="O190" s="31">
        <v>0</v>
      </c>
      <c r="P190" s="31" t="s">
        <v>480</v>
      </c>
      <c r="Q190" s="31">
        <v>0</v>
      </c>
      <c r="R190" s="31" t="s">
        <v>480</v>
      </c>
      <c r="S190" s="33">
        <f t="shared" si="73"/>
        <v>0</v>
      </c>
      <c r="U190" s="87"/>
      <c r="V190" s="87"/>
    </row>
    <row r="191" spans="1:22" s="15" customFormat="1" ht="25.5" customHeight="1" x14ac:dyDescent="0.2">
      <c r="A191" s="110" t="s">
        <v>260</v>
      </c>
      <c r="B191" s="111"/>
      <c r="C191" s="112" t="s">
        <v>278</v>
      </c>
      <c r="D191" s="113"/>
      <c r="E191" s="113"/>
      <c r="F191" s="113"/>
      <c r="G191" s="114"/>
      <c r="H191" s="29" t="s">
        <v>3</v>
      </c>
      <c r="I191" s="31">
        <f>'[3]Ф8 Отток факт'!$H$70/1000</f>
        <v>252.43096969999999</v>
      </c>
      <c r="J191" s="31">
        <f>'[4]Ф8 Отток факт'!$J$51/1000</f>
        <v>240.90660213999996</v>
      </c>
      <c r="K191" s="31">
        <f>'[5]Ф7 Отток БП утв.'!$J$51/1000</f>
        <v>269.78831752348458</v>
      </c>
      <c r="L191" s="31" t="s">
        <v>480</v>
      </c>
      <c r="M191" s="31">
        <f>'[5]Ф7 Отток БП утв.'!$AY$51/1000</f>
        <v>279.77048527185349</v>
      </c>
      <c r="N191" s="31" t="s">
        <v>480</v>
      </c>
      <c r="O191" s="31">
        <f>'[5]Ф7 Отток БП утв.'!$AZ$51/1000</f>
        <v>290.96130468272764</v>
      </c>
      <c r="P191" s="31" t="s">
        <v>480</v>
      </c>
      <c r="Q191" s="31">
        <f>'[5]Ф7 Отток БП утв.'!$BA$51/1000</f>
        <v>302.59975687003686</v>
      </c>
      <c r="R191" s="31" t="s">
        <v>480</v>
      </c>
      <c r="S191" s="33">
        <f t="shared" si="73"/>
        <v>873.33154682461804</v>
      </c>
      <c r="U191" s="87"/>
      <c r="V191" s="87"/>
    </row>
    <row r="192" spans="1:22" s="15" customFormat="1" ht="25.5" customHeight="1" x14ac:dyDescent="0.2">
      <c r="A192" s="110" t="s">
        <v>261</v>
      </c>
      <c r="B192" s="111"/>
      <c r="C192" s="112" t="s">
        <v>279</v>
      </c>
      <c r="D192" s="113"/>
      <c r="E192" s="113"/>
      <c r="F192" s="113"/>
      <c r="G192" s="114"/>
      <c r="H192" s="29" t="s">
        <v>3</v>
      </c>
      <c r="I192" s="31">
        <f>'[3]Ф8 Отток факт'!$H$75/1000</f>
        <v>71.358553479999998</v>
      </c>
      <c r="J192" s="31">
        <f>'[4]Ф8 Отток факт'!$J$56/1000</f>
        <v>70.01587438</v>
      </c>
      <c r="K192" s="31">
        <f>'[5]Ф7 Отток БП утв.'!$J$56/1000</f>
        <v>81.571395345032599</v>
      </c>
      <c r="L192" s="31" t="s">
        <v>480</v>
      </c>
      <c r="M192" s="31">
        <f>'[5]Ф7 Отток БП утв.'!$AY$56/1000</f>
        <v>85.565164165403388</v>
      </c>
      <c r="N192" s="31" t="s">
        <v>480</v>
      </c>
      <c r="O192" s="31">
        <f>'[5]Ф7 Отток БП утв.'!$AZ$56/1000</f>
        <v>88.987770732019527</v>
      </c>
      <c r="P192" s="31" t="s">
        <v>480</v>
      </c>
      <c r="Q192" s="31">
        <f>'[5]Ф7 Отток БП утв.'!$BA$56/1000</f>
        <v>92.547281561300338</v>
      </c>
      <c r="R192" s="31" t="s">
        <v>480</v>
      </c>
      <c r="S192" s="33">
        <f t="shared" si="73"/>
        <v>267.10021645872325</v>
      </c>
      <c r="U192" s="87"/>
      <c r="V192" s="87"/>
    </row>
    <row r="193" spans="1:22" s="15" customFormat="1" ht="25.5" customHeight="1" x14ac:dyDescent="0.2">
      <c r="A193" s="110" t="s">
        <v>262</v>
      </c>
      <c r="B193" s="111"/>
      <c r="C193" s="112" t="s">
        <v>280</v>
      </c>
      <c r="D193" s="113"/>
      <c r="E193" s="113"/>
      <c r="F193" s="113"/>
      <c r="G193" s="114"/>
      <c r="H193" s="29" t="s">
        <v>3</v>
      </c>
      <c r="I193" s="31">
        <f>('[3]Ф8 Отток факт'!$H$102+'[3]Ф8 Отток факт'!$H$112)/1000</f>
        <v>45.949627660000004</v>
      </c>
      <c r="J193" s="31">
        <f>'[4]Ф8 Отток факт'!$J$59/1000</f>
        <v>64.973368230000005</v>
      </c>
      <c r="K193" s="31">
        <f>'[5]Ф7 Отток БП утв.'!$J$59/1000</f>
        <v>82.443777144982036</v>
      </c>
      <c r="L193" s="31" t="s">
        <v>480</v>
      </c>
      <c r="M193" s="31">
        <f>'[5]Ф7 Отток БП утв.'!$AY$59/1000</f>
        <v>97.823758234758643</v>
      </c>
      <c r="N193" s="31" t="s">
        <v>480</v>
      </c>
      <c r="O193" s="31">
        <f>'[5]Ф7 Отток БП утв.'!$AZ$59/1000</f>
        <v>102.34328998791621</v>
      </c>
      <c r="P193" s="31" t="s">
        <v>480</v>
      </c>
      <c r="Q193" s="31">
        <f>'[5]Ф7 Отток БП утв.'!$BA$59/1000</f>
        <v>112.03301614000546</v>
      </c>
      <c r="R193" s="31" t="s">
        <v>480</v>
      </c>
      <c r="S193" s="33">
        <f t="shared" si="73"/>
        <v>312.20006436268034</v>
      </c>
      <c r="U193" s="87"/>
      <c r="V193" s="87"/>
    </row>
    <row r="194" spans="1:22" s="15" customFormat="1" ht="25.5" customHeight="1" x14ac:dyDescent="0.2">
      <c r="A194" s="110" t="s">
        <v>263</v>
      </c>
      <c r="B194" s="111"/>
      <c r="C194" s="115" t="s">
        <v>281</v>
      </c>
      <c r="D194" s="116"/>
      <c r="E194" s="116"/>
      <c r="F194" s="116"/>
      <c r="G194" s="117"/>
      <c r="H194" s="29" t="s">
        <v>3</v>
      </c>
      <c r="I194" s="31">
        <f>'[3]Ф8 Отток факт'!$H$114/1000</f>
        <v>0</v>
      </c>
      <c r="J194" s="31">
        <f>'[4]Ф8 Отток факт'!$J$68/1000</f>
        <v>2.0999999999986585E-5</v>
      </c>
      <c r="K194" s="31">
        <f>'[5]Ф7 Отток БП утв.'!$J$68/1000</f>
        <v>0</v>
      </c>
      <c r="L194" s="31" t="s">
        <v>480</v>
      </c>
      <c r="M194" s="31">
        <f>'[5]Ф7 Отток БП утв.'!$AY$68/1000</f>
        <v>0</v>
      </c>
      <c r="N194" s="31" t="s">
        <v>480</v>
      </c>
      <c r="O194" s="31">
        <f>'[5]Ф7 Отток БП утв.'!$AZ$68/1000</f>
        <v>0</v>
      </c>
      <c r="P194" s="31" t="s">
        <v>480</v>
      </c>
      <c r="Q194" s="31">
        <f>'[5]Ф7 Отток БП утв.'!$BA$68/1000</f>
        <v>0</v>
      </c>
      <c r="R194" s="31" t="s">
        <v>480</v>
      </c>
      <c r="S194" s="33">
        <f t="shared" si="73"/>
        <v>0</v>
      </c>
      <c r="U194" s="87"/>
      <c r="V194" s="87"/>
    </row>
    <row r="195" spans="1:22" s="15" customFormat="1" ht="25.5" customHeight="1" x14ac:dyDescent="0.2">
      <c r="A195" s="110" t="s">
        <v>264</v>
      </c>
      <c r="B195" s="111"/>
      <c r="C195" s="112" t="s">
        <v>282</v>
      </c>
      <c r="D195" s="113"/>
      <c r="E195" s="113"/>
      <c r="F195" s="113"/>
      <c r="G195" s="114"/>
      <c r="H195" s="29" t="s">
        <v>3</v>
      </c>
      <c r="I195" s="31">
        <f>'[3]Ф8 Отток факт'!$H$44/1000</f>
        <v>17.432648659999998</v>
      </c>
      <c r="J195" s="31">
        <f>'[4]Ф8 Отток факт'!$J$15/1000</f>
        <v>1.2306599999999999</v>
      </c>
      <c r="K195" s="31">
        <f>'[5]Ф7 Отток БП утв.'!$J$15/1000</f>
        <v>0.740568</v>
      </c>
      <c r="L195" s="31" t="s">
        <v>480</v>
      </c>
      <c r="M195" s="31">
        <f>'[5]Ф7 Отток БП утв.'!$AY$15/1000</f>
        <v>0.74492994551999991</v>
      </c>
      <c r="N195" s="31" t="s">
        <v>480</v>
      </c>
      <c r="O195" s="31">
        <f>'[5]Ф7 Отток БП утв.'!$AZ$15/1000</f>
        <v>0.75148532904057597</v>
      </c>
      <c r="P195" s="31" t="s">
        <v>480</v>
      </c>
      <c r="Q195" s="31">
        <f>'[5]Ф7 Отток БП утв.'!$BA$15/1000</f>
        <v>0.75809839993613304</v>
      </c>
      <c r="R195" s="31" t="s">
        <v>480</v>
      </c>
      <c r="S195" s="33">
        <f t="shared" si="73"/>
        <v>2.2545136744967089</v>
      </c>
      <c r="U195" s="87"/>
      <c r="V195" s="87"/>
    </row>
    <row r="196" spans="1:22" s="15" customFormat="1" ht="25.5" customHeight="1" x14ac:dyDescent="0.2">
      <c r="A196" s="110" t="s">
        <v>265</v>
      </c>
      <c r="B196" s="111"/>
      <c r="C196" s="112" t="s">
        <v>283</v>
      </c>
      <c r="D196" s="113"/>
      <c r="E196" s="113"/>
      <c r="F196" s="113"/>
      <c r="G196" s="114"/>
      <c r="H196" s="29" t="s">
        <v>3</v>
      </c>
      <c r="I196" s="31">
        <f>('[3]Ф8 Отток факт'!$H$49-'[3]Ф8 Отток факт'!$H$54)/1000</f>
        <v>2.9647536100000145</v>
      </c>
      <c r="J196" s="31">
        <f>('[4]Ф8 Отток факт'!$J$36-'[4]Ф8 Отток факт'!$J$38-'[4]Ф8 Отток факт'!$J$40)/1000</f>
        <v>4.915459189999849</v>
      </c>
      <c r="K196" s="31">
        <f>('[5]Ф7 Отток БП утв.'!$J$36-'[5]Ф7 Отток БП утв.'!$J$38-'[5]Ф7 Отток БП утв.'!$J$40)/1000</f>
        <v>5.0636531400000679</v>
      </c>
      <c r="L196" s="31" t="s">
        <v>480</v>
      </c>
      <c r="M196" s="31">
        <f>('[5]Ф7 Отток БП утв.'!$AY$36-'[5]Ф7 Отток БП утв.'!$AY$38-'[5]Ф7 Отток БП утв.'!$AY$40)/1000</f>
        <v>5.1411054075546563</v>
      </c>
      <c r="N196" s="31" t="s">
        <v>480</v>
      </c>
      <c r="O196" s="31">
        <f>('[5]Ф7 Отток БП утв.'!$AZ$36-'[5]Ф7 Отток БП утв.'!$AZ$38-'[5]Ф7 Отток БП утв.'!$AZ$40)/1000</f>
        <v>5.2280250678681766</v>
      </c>
      <c r="P196" s="31" t="s">
        <v>480</v>
      </c>
      <c r="Q196" s="31">
        <f>('[5]Ф7 Отток БП утв.'!$BA$36-'[5]Ф7 Отток БП утв.'!$BA$38-'[5]Ф7 Отток БП утв.'!$BA$40)/1000</f>
        <v>5.3175299724247305</v>
      </c>
      <c r="R196" s="31" t="s">
        <v>480</v>
      </c>
      <c r="S196" s="33">
        <f t="shared" si="73"/>
        <v>15.686660447847562</v>
      </c>
      <c r="U196" s="87"/>
      <c r="V196" s="87"/>
    </row>
    <row r="197" spans="1:22" s="15" customFormat="1" ht="25.5" customHeight="1" x14ac:dyDescent="0.2">
      <c r="A197" s="110" t="s">
        <v>266</v>
      </c>
      <c r="B197" s="111"/>
      <c r="C197" s="112" t="s">
        <v>284</v>
      </c>
      <c r="D197" s="113"/>
      <c r="E197" s="113"/>
      <c r="F197" s="113"/>
      <c r="G197" s="114"/>
      <c r="H197" s="29" t="s">
        <v>3</v>
      </c>
      <c r="I197" s="31">
        <f>'[3]Ф8 Отток факт'!$H$99/1000</f>
        <v>17.544461980000001</v>
      </c>
      <c r="J197" s="31">
        <f>'[4]Ф8 Отток факт'!$J$73/1000</f>
        <v>17.060660160000005</v>
      </c>
      <c r="K197" s="31">
        <f>'[5]Ф7 Отток БП утв.'!$J$73/1000</f>
        <v>20.860453887999995</v>
      </c>
      <c r="L197" s="31" t="s">
        <v>480</v>
      </c>
      <c r="M197" s="31">
        <f>'[5]Ф7 Отток БП утв.'!$AY$73/1000</f>
        <v>21.054298922214397</v>
      </c>
      <c r="N197" s="31" t="s">
        <v>480</v>
      </c>
      <c r="O197" s="31">
        <f>'[5]Ф7 Отток БП утв.'!$AZ$73/1000</f>
        <v>21.250253896729888</v>
      </c>
      <c r="P197" s="31" t="s">
        <v>480</v>
      </c>
      <c r="Q197" s="31">
        <f>'[5]Ф7 Отток БП утв.'!$BA$73/1000</f>
        <v>21.448372803021108</v>
      </c>
      <c r="R197" s="31" t="s">
        <v>480</v>
      </c>
      <c r="S197" s="33">
        <f t="shared" si="73"/>
        <v>63.752925621965396</v>
      </c>
      <c r="U197" s="87"/>
      <c r="V197" s="87"/>
    </row>
    <row r="198" spans="1:22" s="15" customFormat="1" ht="25.5" customHeight="1" x14ac:dyDescent="0.2">
      <c r="A198" s="110" t="s">
        <v>267</v>
      </c>
      <c r="B198" s="111"/>
      <c r="C198" s="112" t="s">
        <v>285</v>
      </c>
      <c r="D198" s="113"/>
      <c r="E198" s="113"/>
      <c r="F198" s="113"/>
      <c r="G198" s="114"/>
      <c r="H198" s="29" t="s">
        <v>3</v>
      </c>
      <c r="I198" s="31">
        <f>'[3]Ф8 Отток факт'!$H$117/1000</f>
        <v>0</v>
      </c>
      <c r="J198" s="31">
        <f>'[4]Ф8 Отток факт'!$J$153</f>
        <v>0</v>
      </c>
      <c r="K198" s="31">
        <f>'[5]Ф7 Отток БП утв.'!$J$153/1000</f>
        <v>31.01020660768118</v>
      </c>
      <c r="L198" s="31" t="s">
        <v>480</v>
      </c>
      <c r="M198" s="31">
        <f>'[5]Ф7 Отток БП утв.'!$AY$153/1000</f>
        <v>47.39484851621431</v>
      </c>
      <c r="N198" s="31" t="s">
        <v>480</v>
      </c>
      <c r="O198" s="31">
        <f>'[5]Ф7 Отток БП утв.'!$AZ$153/1000</f>
        <v>43.917532814128371</v>
      </c>
      <c r="P198" s="31" t="s">
        <v>480</v>
      </c>
      <c r="Q198" s="31">
        <f>'[5]Ф7 Отток БП утв.'!$BA$153/1000</f>
        <v>70.562564192440632</v>
      </c>
      <c r="R198" s="31" t="s">
        <v>480</v>
      </c>
      <c r="S198" s="33">
        <f t="shared" si="73"/>
        <v>161.87494552278332</v>
      </c>
      <c r="U198" s="87"/>
      <c r="V198" s="87"/>
    </row>
    <row r="199" spans="1:22" s="15" customFormat="1" ht="25.5" customHeight="1" x14ac:dyDescent="0.2">
      <c r="A199" s="110" t="s">
        <v>268</v>
      </c>
      <c r="B199" s="111"/>
      <c r="C199" s="112" t="s">
        <v>286</v>
      </c>
      <c r="D199" s="113"/>
      <c r="E199" s="113"/>
      <c r="F199" s="113"/>
      <c r="G199" s="114"/>
      <c r="H199" s="29" t="s">
        <v>3</v>
      </c>
      <c r="I199" s="31">
        <f>'[3]Ф8 Отток факт'!$H$13/1000-I184-I188-I189-I190-I191-I192-I193-I195-I196-I197-I198</f>
        <v>-1.4174009499997062</v>
      </c>
      <c r="J199" s="31">
        <f>'[4]Ф8 Отток факт'!$J$13/1000-J184-J188-J189-J191-J192-J193-J195-J196-J197-J198</f>
        <v>594.46531166300042</v>
      </c>
      <c r="K199" s="31">
        <f>'[5]Ф7 Отток БП утв.'!$J$13/1000-K184-K188-K189-K191-K192-K193-K195-K196-K197-K198</f>
        <v>535.35638034715669</v>
      </c>
      <c r="L199" s="31" t="s">
        <v>480</v>
      </c>
      <c r="M199" s="31">
        <f>'[5]Ф7 Отток БП утв.'!$AY$13/1000-M184-M188-M189-M191-M192-M193-M195-M196-M197-M198</f>
        <v>755.21629667983734</v>
      </c>
      <c r="N199" s="31" t="s">
        <v>480</v>
      </c>
      <c r="O199" s="31">
        <f>'[5]Ф7 Отток БП утв.'!$AZ$13/1000-O184-O188-O189-O191-O192-O193-O195-O196-O197-O198</f>
        <v>783.33347262269513</v>
      </c>
      <c r="P199" s="31" t="s">
        <v>480</v>
      </c>
      <c r="Q199" s="31">
        <f>'[5]Ф7 Отток БП утв.'!$BA$13/1000-Q184-Q188-Q189-Q191-Q192-Q193-Q195-Q196-Q197-Q198</f>
        <v>528.21867304010675</v>
      </c>
      <c r="R199" s="31" t="s">
        <v>480</v>
      </c>
      <c r="S199" s="33">
        <f t="shared" si="73"/>
        <v>2066.768442342639</v>
      </c>
      <c r="U199" s="87"/>
      <c r="V199" s="87"/>
    </row>
    <row r="200" spans="1:22" s="15" customFormat="1" ht="25.5" customHeight="1" x14ac:dyDescent="0.2">
      <c r="A200" s="110" t="s">
        <v>269</v>
      </c>
      <c r="B200" s="111"/>
      <c r="C200" s="118" t="s">
        <v>287</v>
      </c>
      <c r="D200" s="119"/>
      <c r="E200" s="119"/>
      <c r="F200" s="119"/>
      <c r="G200" s="120"/>
      <c r="H200" s="29" t="s">
        <v>3</v>
      </c>
      <c r="I200" s="31">
        <f t="shared" ref="I200:J200" si="82">I201+I202+I206</f>
        <v>0</v>
      </c>
      <c r="J200" s="31">
        <f t="shared" si="82"/>
        <v>1.6E-2</v>
      </c>
      <c r="K200" s="31">
        <f t="shared" ref="K200:M200" si="83">K201+K202+K206</f>
        <v>0</v>
      </c>
      <c r="L200" s="31" t="s">
        <v>480</v>
      </c>
      <c r="M200" s="31">
        <f t="shared" si="83"/>
        <v>0</v>
      </c>
      <c r="N200" s="31" t="s">
        <v>480</v>
      </c>
      <c r="O200" s="31">
        <f t="shared" ref="O200" si="84">O201+O202+O206</f>
        <v>0</v>
      </c>
      <c r="P200" s="31" t="s">
        <v>480</v>
      </c>
      <c r="Q200" s="31">
        <f t="shared" ref="Q200" si="85">Q201+Q202+Q206</f>
        <v>0</v>
      </c>
      <c r="R200" s="31" t="s">
        <v>480</v>
      </c>
      <c r="S200" s="33">
        <f t="shared" si="73"/>
        <v>0</v>
      </c>
      <c r="U200" s="87"/>
      <c r="V200" s="87"/>
    </row>
    <row r="201" spans="1:22" s="15" customFormat="1" ht="25.5" customHeight="1" x14ac:dyDescent="0.2">
      <c r="A201" s="110" t="s">
        <v>288</v>
      </c>
      <c r="B201" s="111"/>
      <c r="C201" s="112" t="s">
        <v>295</v>
      </c>
      <c r="D201" s="113"/>
      <c r="E201" s="113"/>
      <c r="F201" s="113"/>
      <c r="G201" s="114"/>
      <c r="H201" s="29" t="s">
        <v>3</v>
      </c>
      <c r="I201" s="31">
        <v>0</v>
      </c>
      <c r="J201" s="31">
        <f>'[4]Ф8 Приток факт'!$J$53/1000</f>
        <v>1.6E-2</v>
      </c>
      <c r="K201" s="31">
        <v>0</v>
      </c>
      <c r="L201" s="31" t="s">
        <v>480</v>
      </c>
      <c r="M201" s="31">
        <v>0</v>
      </c>
      <c r="N201" s="31" t="s">
        <v>480</v>
      </c>
      <c r="O201" s="31">
        <v>0</v>
      </c>
      <c r="P201" s="31" t="s">
        <v>480</v>
      </c>
      <c r="Q201" s="31">
        <v>0</v>
      </c>
      <c r="R201" s="31" t="s">
        <v>480</v>
      </c>
      <c r="S201" s="33">
        <f t="shared" si="73"/>
        <v>0</v>
      </c>
      <c r="U201" s="87"/>
      <c r="V201" s="87"/>
    </row>
    <row r="202" spans="1:22" s="15" customFormat="1" ht="25.5" customHeight="1" x14ac:dyDescent="0.2">
      <c r="A202" s="110" t="s">
        <v>289</v>
      </c>
      <c r="B202" s="111"/>
      <c r="C202" s="112" t="s">
        <v>296</v>
      </c>
      <c r="D202" s="113"/>
      <c r="E202" s="113"/>
      <c r="F202" s="113"/>
      <c r="G202" s="114"/>
      <c r="H202" s="29" t="s">
        <v>3</v>
      </c>
      <c r="I202" s="31">
        <v>0</v>
      </c>
      <c r="J202" s="31">
        <v>0</v>
      </c>
      <c r="K202" s="31">
        <v>0</v>
      </c>
      <c r="L202" s="31" t="s">
        <v>480</v>
      </c>
      <c r="M202" s="31">
        <v>0</v>
      </c>
      <c r="N202" s="31" t="s">
        <v>480</v>
      </c>
      <c r="O202" s="31">
        <v>0</v>
      </c>
      <c r="P202" s="31" t="s">
        <v>480</v>
      </c>
      <c r="Q202" s="31">
        <v>0</v>
      </c>
      <c r="R202" s="31" t="s">
        <v>480</v>
      </c>
      <c r="S202" s="33">
        <f t="shared" si="73"/>
        <v>0</v>
      </c>
      <c r="U202" s="87"/>
      <c r="V202" s="87"/>
    </row>
    <row r="203" spans="1:22" s="15" customFormat="1" ht="25.5" customHeight="1" x14ac:dyDescent="0.2">
      <c r="A203" s="110" t="s">
        <v>290</v>
      </c>
      <c r="B203" s="111"/>
      <c r="C203" s="115" t="s">
        <v>297</v>
      </c>
      <c r="D203" s="116"/>
      <c r="E203" s="116"/>
      <c r="F203" s="116"/>
      <c r="G203" s="117"/>
      <c r="H203" s="29" t="s">
        <v>3</v>
      </c>
      <c r="I203" s="31">
        <v>0</v>
      </c>
      <c r="J203" s="31">
        <v>0</v>
      </c>
      <c r="K203" s="31">
        <v>0</v>
      </c>
      <c r="L203" s="31" t="s">
        <v>480</v>
      </c>
      <c r="M203" s="31">
        <v>0</v>
      </c>
      <c r="N203" s="31" t="s">
        <v>480</v>
      </c>
      <c r="O203" s="31">
        <v>0</v>
      </c>
      <c r="P203" s="31" t="s">
        <v>480</v>
      </c>
      <c r="Q203" s="31">
        <v>0</v>
      </c>
      <c r="R203" s="31" t="s">
        <v>480</v>
      </c>
      <c r="S203" s="33">
        <f t="shared" si="73"/>
        <v>0</v>
      </c>
      <c r="U203" s="87"/>
      <c r="V203" s="87"/>
    </row>
    <row r="204" spans="1:22" s="15" customFormat="1" ht="25.5" customHeight="1" x14ac:dyDescent="0.2">
      <c r="A204" s="110" t="s">
        <v>291</v>
      </c>
      <c r="B204" s="111"/>
      <c r="C204" s="107" t="s">
        <v>298</v>
      </c>
      <c r="D204" s="108"/>
      <c r="E204" s="108"/>
      <c r="F204" s="108"/>
      <c r="G204" s="109"/>
      <c r="H204" s="29" t="s">
        <v>3</v>
      </c>
      <c r="I204" s="31">
        <v>0</v>
      </c>
      <c r="J204" s="31">
        <v>0</v>
      </c>
      <c r="K204" s="31">
        <v>0</v>
      </c>
      <c r="L204" s="31" t="s">
        <v>480</v>
      </c>
      <c r="M204" s="31">
        <v>0</v>
      </c>
      <c r="N204" s="31" t="s">
        <v>480</v>
      </c>
      <c r="O204" s="31">
        <v>0</v>
      </c>
      <c r="P204" s="31" t="s">
        <v>480</v>
      </c>
      <c r="Q204" s="31">
        <v>0</v>
      </c>
      <c r="R204" s="31" t="s">
        <v>480</v>
      </c>
      <c r="S204" s="33">
        <f t="shared" si="73"/>
        <v>0</v>
      </c>
      <c r="U204" s="87"/>
      <c r="V204" s="87"/>
    </row>
    <row r="205" spans="1:22" s="15" customFormat="1" ht="25.5" customHeight="1" x14ac:dyDescent="0.2">
      <c r="A205" s="110" t="s">
        <v>292</v>
      </c>
      <c r="B205" s="111"/>
      <c r="C205" s="107" t="s">
        <v>299</v>
      </c>
      <c r="D205" s="108"/>
      <c r="E205" s="108"/>
      <c r="F205" s="108"/>
      <c r="G205" s="109"/>
      <c r="H205" s="29" t="s">
        <v>3</v>
      </c>
      <c r="I205" s="31">
        <v>0</v>
      </c>
      <c r="J205" s="31">
        <v>0</v>
      </c>
      <c r="K205" s="31">
        <v>0</v>
      </c>
      <c r="L205" s="31" t="s">
        <v>480</v>
      </c>
      <c r="M205" s="31">
        <v>0</v>
      </c>
      <c r="N205" s="31" t="s">
        <v>480</v>
      </c>
      <c r="O205" s="31">
        <v>0</v>
      </c>
      <c r="P205" s="31" t="s">
        <v>480</v>
      </c>
      <c r="Q205" s="31">
        <v>0</v>
      </c>
      <c r="R205" s="31" t="s">
        <v>480</v>
      </c>
      <c r="S205" s="33">
        <f t="shared" si="73"/>
        <v>0</v>
      </c>
      <c r="U205" s="87"/>
      <c r="V205" s="87"/>
    </row>
    <row r="206" spans="1:22" s="15" customFormat="1" ht="25.5" customHeight="1" x14ac:dyDescent="0.2">
      <c r="A206" s="110" t="s">
        <v>293</v>
      </c>
      <c r="B206" s="111"/>
      <c r="C206" s="112" t="s">
        <v>300</v>
      </c>
      <c r="D206" s="113"/>
      <c r="E206" s="113"/>
      <c r="F206" s="113"/>
      <c r="G206" s="114"/>
      <c r="H206" s="29" t="s">
        <v>3</v>
      </c>
      <c r="I206" s="31">
        <v>0</v>
      </c>
      <c r="J206" s="31">
        <v>0</v>
      </c>
      <c r="K206" s="31">
        <v>0</v>
      </c>
      <c r="L206" s="31" t="s">
        <v>480</v>
      </c>
      <c r="M206" s="31">
        <v>0</v>
      </c>
      <c r="N206" s="31" t="s">
        <v>480</v>
      </c>
      <c r="O206" s="31">
        <v>0</v>
      </c>
      <c r="P206" s="31" t="s">
        <v>480</v>
      </c>
      <c r="Q206" s="31">
        <v>0</v>
      </c>
      <c r="R206" s="31" t="s">
        <v>480</v>
      </c>
      <c r="S206" s="33">
        <f t="shared" si="73"/>
        <v>0</v>
      </c>
      <c r="U206" s="87"/>
      <c r="V206" s="87"/>
    </row>
    <row r="207" spans="1:22" s="15" customFormat="1" ht="25.5" customHeight="1" x14ac:dyDescent="0.2">
      <c r="A207" s="110" t="s">
        <v>294</v>
      </c>
      <c r="B207" s="111"/>
      <c r="C207" s="118" t="s">
        <v>301</v>
      </c>
      <c r="D207" s="119"/>
      <c r="E207" s="119"/>
      <c r="F207" s="119"/>
      <c r="G207" s="120"/>
      <c r="H207" s="29" t="s">
        <v>3</v>
      </c>
      <c r="I207" s="31">
        <f t="shared" ref="I207:J207" si="86">I208+I215+I216+I217</f>
        <v>2.1318829799999999</v>
      </c>
      <c r="J207" s="31">
        <f t="shared" si="86"/>
        <v>0</v>
      </c>
      <c r="K207" s="31">
        <f t="shared" ref="K207:M207" si="87">K208+K215+K216+K217</f>
        <v>0</v>
      </c>
      <c r="L207" s="31" t="s">
        <v>480</v>
      </c>
      <c r="M207" s="31">
        <f t="shared" si="87"/>
        <v>96.85788773367058</v>
      </c>
      <c r="N207" s="31" t="s">
        <v>480</v>
      </c>
      <c r="O207" s="31">
        <f t="shared" ref="O207" si="88">O208+O215+O216+O217</f>
        <v>78.682010672840988</v>
      </c>
      <c r="P207" s="31" t="s">
        <v>480</v>
      </c>
      <c r="Q207" s="31">
        <f t="shared" ref="Q207" si="89">Q208+Q215+Q216+Q217</f>
        <v>90.001411769103768</v>
      </c>
      <c r="R207" s="31" t="s">
        <v>480</v>
      </c>
      <c r="S207" s="33">
        <f t="shared" si="73"/>
        <v>265.54131017561531</v>
      </c>
      <c r="U207" s="87"/>
      <c r="V207" s="87"/>
    </row>
    <row r="208" spans="1:22" s="15" customFormat="1" ht="25.5" customHeight="1" x14ac:dyDescent="0.2">
      <c r="A208" s="110" t="s">
        <v>302</v>
      </c>
      <c r="B208" s="111"/>
      <c r="C208" s="112" t="s">
        <v>314</v>
      </c>
      <c r="D208" s="113"/>
      <c r="E208" s="113"/>
      <c r="F208" s="113"/>
      <c r="G208" s="114"/>
      <c r="H208" s="29" t="s">
        <v>3</v>
      </c>
      <c r="I208" s="31">
        <f t="shared" ref="I208:J208" si="90">SUM(I209:I214)</f>
        <v>2.1318829799999999</v>
      </c>
      <c r="J208" s="31">
        <f t="shared" si="90"/>
        <v>0</v>
      </c>
      <c r="K208" s="31">
        <f t="shared" ref="K208:M208" si="91">SUM(K209:K214)</f>
        <v>0</v>
      </c>
      <c r="L208" s="31" t="s">
        <v>480</v>
      </c>
      <c r="M208" s="31">
        <f t="shared" si="91"/>
        <v>96.85788773367058</v>
      </c>
      <c r="N208" s="31" t="s">
        <v>480</v>
      </c>
      <c r="O208" s="31">
        <f t="shared" ref="O208" si="92">SUM(O209:O214)</f>
        <v>78.682010672840988</v>
      </c>
      <c r="P208" s="31" t="s">
        <v>480</v>
      </c>
      <c r="Q208" s="31">
        <f t="shared" ref="Q208" si="93">SUM(Q209:Q214)</f>
        <v>90.001411769103768</v>
      </c>
      <c r="R208" s="31" t="s">
        <v>480</v>
      </c>
      <c r="S208" s="33">
        <f t="shared" si="73"/>
        <v>265.54131017561531</v>
      </c>
      <c r="U208" s="87"/>
      <c r="V208" s="87"/>
    </row>
    <row r="209" spans="1:22" s="15" customFormat="1" ht="25.5" customHeight="1" x14ac:dyDescent="0.2">
      <c r="A209" s="110" t="s">
        <v>303</v>
      </c>
      <c r="B209" s="111"/>
      <c r="C209" s="115" t="s">
        <v>315</v>
      </c>
      <c r="D209" s="116"/>
      <c r="E209" s="116"/>
      <c r="F209" s="116"/>
      <c r="G209" s="117"/>
      <c r="H209" s="29" t="s">
        <v>3</v>
      </c>
      <c r="I209" s="31">
        <v>0</v>
      </c>
      <c r="J209" s="31">
        <v>0</v>
      </c>
      <c r="K209" s="31">
        <v>0</v>
      </c>
      <c r="L209" s="31" t="s">
        <v>480</v>
      </c>
      <c r="M209" s="31">
        <v>96.85788773367058</v>
      </c>
      <c r="N209" s="31" t="s">
        <v>480</v>
      </c>
      <c r="O209" s="31">
        <v>78.682010672840988</v>
      </c>
      <c r="P209" s="31" t="s">
        <v>480</v>
      </c>
      <c r="Q209" s="31">
        <v>90.001411769103768</v>
      </c>
      <c r="R209" s="31" t="s">
        <v>480</v>
      </c>
      <c r="S209" s="33">
        <f t="shared" si="73"/>
        <v>265.54131017561531</v>
      </c>
      <c r="U209" s="87"/>
      <c r="V209" s="87"/>
    </row>
    <row r="210" spans="1:22" s="15" customFormat="1" ht="25.5" customHeight="1" x14ac:dyDescent="0.2">
      <c r="A210" s="110" t="s">
        <v>304</v>
      </c>
      <c r="B210" s="111"/>
      <c r="C210" s="115" t="s">
        <v>316</v>
      </c>
      <c r="D210" s="116"/>
      <c r="E210" s="116"/>
      <c r="F210" s="116"/>
      <c r="G210" s="117"/>
      <c r="H210" s="29" t="s">
        <v>3</v>
      </c>
      <c r="I210" s="31">
        <v>0</v>
      </c>
      <c r="J210" s="31">
        <v>0</v>
      </c>
      <c r="K210" s="31">
        <v>0</v>
      </c>
      <c r="L210" s="31" t="s">
        <v>480</v>
      </c>
      <c r="M210" s="31">
        <v>0</v>
      </c>
      <c r="N210" s="31" t="s">
        <v>480</v>
      </c>
      <c r="O210" s="31">
        <v>0</v>
      </c>
      <c r="P210" s="31" t="s">
        <v>480</v>
      </c>
      <c r="Q210" s="31">
        <v>0</v>
      </c>
      <c r="R210" s="31" t="s">
        <v>480</v>
      </c>
      <c r="S210" s="33">
        <f t="shared" si="73"/>
        <v>0</v>
      </c>
      <c r="U210" s="87"/>
      <c r="V210" s="87"/>
    </row>
    <row r="211" spans="1:22" s="15" customFormat="1" ht="25.5" customHeight="1" x14ac:dyDescent="0.2">
      <c r="A211" s="110" t="s">
        <v>305</v>
      </c>
      <c r="B211" s="111"/>
      <c r="C211" s="115" t="s">
        <v>317</v>
      </c>
      <c r="D211" s="116"/>
      <c r="E211" s="116"/>
      <c r="F211" s="116"/>
      <c r="G211" s="117"/>
      <c r="H211" s="29" t="s">
        <v>3</v>
      </c>
      <c r="I211" s="31">
        <v>0</v>
      </c>
      <c r="J211" s="31">
        <v>0</v>
      </c>
      <c r="K211" s="31">
        <v>0</v>
      </c>
      <c r="L211" s="31" t="s">
        <v>480</v>
      </c>
      <c r="M211" s="31">
        <v>0</v>
      </c>
      <c r="N211" s="31" t="s">
        <v>480</v>
      </c>
      <c r="O211" s="31">
        <v>0</v>
      </c>
      <c r="P211" s="31" t="s">
        <v>480</v>
      </c>
      <c r="Q211" s="31">
        <v>0</v>
      </c>
      <c r="R211" s="31" t="s">
        <v>480</v>
      </c>
      <c r="S211" s="33">
        <f t="shared" si="73"/>
        <v>0</v>
      </c>
      <c r="U211" s="87"/>
      <c r="V211" s="87"/>
    </row>
    <row r="212" spans="1:22" s="15" customFormat="1" ht="25.5" customHeight="1" x14ac:dyDescent="0.2">
      <c r="A212" s="110" t="s">
        <v>306</v>
      </c>
      <c r="B212" s="111"/>
      <c r="C212" s="115" t="s">
        <v>318</v>
      </c>
      <c r="D212" s="116"/>
      <c r="E212" s="116"/>
      <c r="F212" s="116"/>
      <c r="G212" s="117"/>
      <c r="H212" s="29" t="s">
        <v>3</v>
      </c>
      <c r="I212" s="31">
        <f>'[3]Ф8 Отток факт'!$H$175/1000</f>
        <v>2.1318829799999999</v>
      </c>
      <c r="J212" s="31">
        <v>0</v>
      </c>
      <c r="K212" s="31">
        <v>0</v>
      </c>
      <c r="L212" s="31" t="s">
        <v>480</v>
      </c>
      <c r="M212" s="31">
        <v>0</v>
      </c>
      <c r="N212" s="31" t="s">
        <v>480</v>
      </c>
      <c r="O212" s="31">
        <v>0</v>
      </c>
      <c r="P212" s="31" t="s">
        <v>480</v>
      </c>
      <c r="Q212" s="31">
        <v>0</v>
      </c>
      <c r="R212" s="31" t="s">
        <v>480</v>
      </c>
      <c r="S212" s="33">
        <f t="shared" si="73"/>
        <v>0</v>
      </c>
      <c r="U212" s="87"/>
      <c r="V212" s="87"/>
    </row>
    <row r="213" spans="1:22" s="15" customFormat="1" ht="25.5" customHeight="1" x14ac:dyDescent="0.2">
      <c r="A213" s="110" t="s">
        <v>307</v>
      </c>
      <c r="B213" s="111"/>
      <c r="C213" s="115" t="s">
        <v>319</v>
      </c>
      <c r="D213" s="116"/>
      <c r="E213" s="116"/>
      <c r="F213" s="116"/>
      <c r="G213" s="117"/>
      <c r="H213" s="29" t="s">
        <v>3</v>
      </c>
      <c r="I213" s="31">
        <v>0</v>
      </c>
      <c r="J213" s="31">
        <v>0</v>
      </c>
      <c r="K213" s="31">
        <v>0</v>
      </c>
      <c r="L213" s="31" t="s">
        <v>480</v>
      </c>
      <c r="M213" s="31">
        <v>0</v>
      </c>
      <c r="N213" s="31" t="s">
        <v>480</v>
      </c>
      <c r="O213" s="31">
        <v>0</v>
      </c>
      <c r="P213" s="31" t="s">
        <v>480</v>
      </c>
      <c r="Q213" s="31">
        <v>0</v>
      </c>
      <c r="R213" s="31" t="s">
        <v>480</v>
      </c>
      <c r="S213" s="33">
        <f t="shared" si="73"/>
        <v>0</v>
      </c>
      <c r="U213" s="87"/>
      <c r="V213" s="87"/>
    </row>
    <row r="214" spans="1:22" s="15" customFormat="1" ht="25.5" customHeight="1" x14ac:dyDescent="0.2">
      <c r="A214" s="110" t="s">
        <v>308</v>
      </c>
      <c r="B214" s="111"/>
      <c r="C214" s="115" t="s">
        <v>320</v>
      </c>
      <c r="D214" s="116"/>
      <c r="E214" s="116"/>
      <c r="F214" s="116"/>
      <c r="G214" s="117"/>
      <c r="H214" s="29" t="s">
        <v>3</v>
      </c>
      <c r="I214" s="31">
        <v>0</v>
      </c>
      <c r="J214" s="31">
        <v>0</v>
      </c>
      <c r="K214" s="31">
        <v>0</v>
      </c>
      <c r="L214" s="31" t="s">
        <v>480</v>
      </c>
      <c r="M214" s="31">
        <v>0</v>
      </c>
      <c r="N214" s="31" t="s">
        <v>480</v>
      </c>
      <c r="O214" s="31">
        <v>0</v>
      </c>
      <c r="P214" s="31" t="s">
        <v>480</v>
      </c>
      <c r="Q214" s="31">
        <v>0</v>
      </c>
      <c r="R214" s="31" t="s">
        <v>480</v>
      </c>
      <c r="S214" s="33">
        <f t="shared" si="73"/>
        <v>0</v>
      </c>
      <c r="U214" s="87"/>
      <c r="V214" s="87"/>
    </row>
    <row r="215" spans="1:22" s="15" customFormat="1" ht="25.5" customHeight="1" x14ac:dyDescent="0.2">
      <c r="A215" s="110" t="s">
        <v>309</v>
      </c>
      <c r="B215" s="111"/>
      <c r="C215" s="112" t="s">
        <v>321</v>
      </c>
      <c r="D215" s="113"/>
      <c r="E215" s="113"/>
      <c r="F215" s="113"/>
      <c r="G215" s="114"/>
      <c r="H215" s="29" t="s">
        <v>3</v>
      </c>
      <c r="I215" s="31">
        <v>0</v>
      </c>
      <c r="J215" s="31">
        <v>0</v>
      </c>
      <c r="K215" s="31">
        <v>0</v>
      </c>
      <c r="L215" s="31" t="s">
        <v>480</v>
      </c>
      <c r="M215" s="31">
        <v>0</v>
      </c>
      <c r="N215" s="31" t="s">
        <v>480</v>
      </c>
      <c r="O215" s="31">
        <v>0</v>
      </c>
      <c r="P215" s="31" t="s">
        <v>480</v>
      </c>
      <c r="Q215" s="31">
        <v>0</v>
      </c>
      <c r="R215" s="31" t="s">
        <v>480</v>
      </c>
      <c r="S215" s="33">
        <f t="shared" si="73"/>
        <v>0</v>
      </c>
      <c r="U215" s="87"/>
      <c r="V215" s="87"/>
    </row>
    <row r="216" spans="1:22" s="15" customFormat="1" ht="25.5" customHeight="1" x14ac:dyDescent="0.2">
      <c r="A216" s="110" t="s">
        <v>310</v>
      </c>
      <c r="B216" s="111"/>
      <c r="C216" s="112" t="s">
        <v>322</v>
      </c>
      <c r="D216" s="113"/>
      <c r="E216" s="113"/>
      <c r="F216" s="113"/>
      <c r="G216" s="114"/>
      <c r="H216" s="29" t="s">
        <v>3</v>
      </c>
      <c r="I216" s="31">
        <v>0</v>
      </c>
      <c r="J216" s="31">
        <v>0</v>
      </c>
      <c r="K216" s="31">
        <v>0</v>
      </c>
      <c r="L216" s="31" t="s">
        <v>480</v>
      </c>
      <c r="M216" s="31">
        <v>0</v>
      </c>
      <c r="N216" s="31" t="s">
        <v>480</v>
      </c>
      <c r="O216" s="31">
        <v>0</v>
      </c>
      <c r="P216" s="31" t="s">
        <v>480</v>
      </c>
      <c r="Q216" s="31">
        <v>0</v>
      </c>
      <c r="R216" s="31" t="s">
        <v>480</v>
      </c>
      <c r="S216" s="33">
        <f t="shared" si="73"/>
        <v>0</v>
      </c>
      <c r="U216" s="87"/>
      <c r="V216" s="87"/>
    </row>
    <row r="217" spans="1:22" s="15" customFormat="1" ht="25.5" customHeight="1" x14ac:dyDescent="0.2">
      <c r="A217" s="110" t="s">
        <v>311</v>
      </c>
      <c r="B217" s="111"/>
      <c r="C217" s="112" t="s">
        <v>111</v>
      </c>
      <c r="D217" s="113"/>
      <c r="E217" s="113"/>
      <c r="F217" s="113"/>
      <c r="G217" s="114"/>
      <c r="H217" s="29" t="s">
        <v>480</v>
      </c>
      <c r="I217" s="31">
        <v>0</v>
      </c>
      <c r="J217" s="31">
        <v>0</v>
      </c>
      <c r="K217" s="31">
        <v>0</v>
      </c>
      <c r="L217" s="31" t="s">
        <v>480</v>
      </c>
      <c r="M217" s="31">
        <v>0</v>
      </c>
      <c r="N217" s="31" t="s">
        <v>480</v>
      </c>
      <c r="O217" s="31">
        <v>0</v>
      </c>
      <c r="P217" s="31" t="s">
        <v>480</v>
      </c>
      <c r="Q217" s="31">
        <v>0</v>
      </c>
      <c r="R217" s="31" t="s">
        <v>480</v>
      </c>
      <c r="S217" s="33">
        <f t="shared" si="73"/>
        <v>0</v>
      </c>
      <c r="U217" s="87"/>
      <c r="V217" s="87"/>
    </row>
    <row r="218" spans="1:22" s="15" customFormat="1" ht="25.5" customHeight="1" x14ac:dyDescent="0.2">
      <c r="A218" s="110" t="s">
        <v>312</v>
      </c>
      <c r="B218" s="111"/>
      <c r="C218" s="115" t="s">
        <v>323</v>
      </c>
      <c r="D218" s="116"/>
      <c r="E218" s="116"/>
      <c r="F218" s="116"/>
      <c r="G218" s="117"/>
      <c r="H218" s="29" t="s">
        <v>3</v>
      </c>
      <c r="I218" s="31">
        <v>0</v>
      </c>
      <c r="J218" s="31">
        <v>0</v>
      </c>
      <c r="K218" s="31">
        <v>0</v>
      </c>
      <c r="L218" s="31" t="s">
        <v>480</v>
      </c>
      <c r="M218" s="31">
        <v>0</v>
      </c>
      <c r="N218" s="31" t="s">
        <v>480</v>
      </c>
      <c r="O218" s="31">
        <v>0</v>
      </c>
      <c r="P218" s="31" t="s">
        <v>480</v>
      </c>
      <c r="Q218" s="31">
        <v>0</v>
      </c>
      <c r="R218" s="31" t="s">
        <v>480</v>
      </c>
      <c r="S218" s="33">
        <f t="shared" si="73"/>
        <v>0</v>
      </c>
      <c r="U218" s="87"/>
      <c r="V218" s="87"/>
    </row>
    <row r="219" spans="1:22" s="15" customFormat="1" ht="25.5" customHeight="1" x14ac:dyDescent="0.2">
      <c r="A219" s="110" t="s">
        <v>313</v>
      </c>
      <c r="B219" s="111"/>
      <c r="C219" s="118" t="s">
        <v>324</v>
      </c>
      <c r="D219" s="119"/>
      <c r="E219" s="119"/>
      <c r="F219" s="119"/>
      <c r="G219" s="120"/>
      <c r="H219" s="29" t="s">
        <v>3</v>
      </c>
      <c r="I219" s="31">
        <f t="shared" ref="I219:J219" si="94">I220+I221+I225+I226+I229+I230+I231</f>
        <v>7.9587916700000028</v>
      </c>
      <c r="J219" s="31">
        <f t="shared" si="94"/>
        <v>8.9622419700000098</v>
      </c>
      <c r="K219" s="31">
        <f t="shared" ref="K219:M219" si="95">K220+K221+K225+K226+K229+K230+K231</f>
        <v>1048.229973945856</v>
      </c>
      <c r="L219" s="31" t="s">
        <v>480</v>
      </c>
      <c r="M219" s="31">
        <f t="shared" si="95"/>
        <v>2696.1074211170612</v>
      </c>
      <c r="N219" s="31" t="s">
        <v>480</v>
      </c>
      <c r="O219" s="31">
        <f t="shared" ref="O219" si="96">O220+O221+O225+O226+O229+O230+O231</f>
        <v>812.31565076064862</v>
      </c>
      <c r="P219" s="31" t="s">
        <v>480</v>
      </c>
      <c r="Q219" s="31">
        <f t="shared" ref="Q219" si="97">Q220+Q221+Q225+Q226+Q229+Q230+Q231</f>
        <v>800.69258024439421</v>
      </c>
      <c r="R219" s="31" t="s">
        <v>480</v>
      </c>
      <c r="S219" s="33">
        <f t="shared" si="73"/>
        <v>4309.1156521221037</v>
      </c>
      <c r="U219" s="87"/>
      <c r="V219" s="87"/>
    </row>
    <row r="220" spans="1:22" s="15" customFormat="1" ht="25.5" customHeight="1" x14ac:dyDescent="0.2">
      <c r="A220" s="110" t="s">
        <v>325</v>
      </c>
      <c r="B220" s="111"/>
      <c r="C220" s="112" t="s">
        <v>338</v>
      </c>
      <c r="D220" s="113"/>
      <c r="E220" s="113"/>
      <c r="F220" s="113"/>
      <c r="G220" s="114"/>
      <c r="H220" s="29" t="s">
        <v>3</v>
      </c>
      <c r="I220" s="31">
        <f>'[3]Ф8 Приток факт'!$H$233/1000</f>
        <v>0.96211000999999996</v>
      </c>
      <c r="J220" s="31">
        <f>'[4]Ф8 Приток факт'!$J$73/1000</f>
        <v>7.3293341300000003</v>
      </c>
      <c r="K220" s="31">
        <f>'[5]Ф7 Приток БП утв.'!$J$73/1000</f>
        <v>0</v>
      </c>
      <c r="L220" s="31" t="s">
        <v>480</v>
      </c>
      <c r="M220" s="31">
        <f>'[5]Ф7 Приток БП утв.'!$AY$73/1000</f>
        <v>0</v>
      </c>
      <c r="N220" s="31" t="s">
        <v>480</v>
      </c>
      <c r="O220" s="31">
        <f>'[5]Ф7 Приток БП утв.'!$AZ$73/1000</f>
        <v>0</v>
      </c>
      <c r="P220" s="31" t="s">
        <v>480</v>
      </c>
      <c r="Q220" s="31">
        <f>'[5]Ф7 Приток БП утв.'!$BA$73/1000</f>
        <v>0</v>
      </c>
      <c r="R220" s="31" t="s">
        <v>480</v>
      </c>
      <c r="S220" s="33">
        <f t="shared" si="73"/>
        <v>0</v>
      </c>
      <c r="U220" s="87"/>
      <c r="V220" s="87"/>
    </row>
    <row r="221" spans="1:22" s="15" customFormat="1" ht="25.5" customHeight="1" x14ac:dyDescent="0.2">
      <c r="A221" s="110" t="s">
        <v>326</v>
      </c>
      <c r="B221" s="111"/>
      <c r="C221" s="112" t="s">
        <v>339</v>
      </c>
      <c r="D221" s="113"/>
      <c r="E221" s="113"/>
      <c r="F221" s="113"/>
      <c r="G221" s="114"/>
      <c r="H221" s="29" t="s">
        <v>3</v>
      </c>
      <c r="I221" s="31">
        <f t="shared" ref="I221:J221" si="98">I222+I223+I224</f>
        <v>0</v>
      </c>
      <c r="J221" s="31">
        <f t="shared" si="98"/>
        <v>0</v>
      </c>
      <c r="K221" s="31">
        <f t="shared" ref="K221:M221" si="99">K222+K223+K224</f>
        <v>1048.229973945856</v>
      </c>
      <c r="L221" s="31" t="s">
        <v>480</v>
      </c>
      <c r="M221" s="31">
        <f t="shared" si="99"/>
        <v>823.93872358560259</v>
      </c>
      <c r="N221" s="31" t="s">
        <v>480</v>
      </c>
      <c r="O221" s="31">
        <f t="shared" ref="O221" si="100">O222+O223+O224</f>
        <v>0</v>
      </c>
      <c r="P221" s="31" t="s">
        <v>480</v>
      </c>
      <c r="Q221" s="31">
        <f t="shared" ref="Q221" si="101">Q222+Q223+Q224</f>
        <v>0</v>
      </c>
      <c r="R221" s="31" t="s">
        <v>480</v>
      </c>
      <c r="S221" s="33">
        <f t="shared" si="73"/>
        <v>823.93872358560259</v>
      </c>
      <c r="U221" s="87"/>
      <c r="V221" s="87"/>
    </row>
    <row r="222" spans="1:22" s="15" customFormat="1" ht="25.5" customHeight="1" x14ac:dyDescent="0.2">
      <c r="A222" s="110" t="s">
        <v>327</v>
      </c>
      <c r="B222" s="111"/>
      <c r="C222" s="115" t="s">
        <v>340</v>
      </c>
      <c r="D222" s="116"/>
      <c r="E222" s="116"/>
      <c r="F222" s="116"/>
      <c r="G222" s="117"/>
      <c r="H222" s="29" t="s">
        <v>3</v>
      </c>
      <c r="I222" s="31">
        <f>'[3]Ф8 Приток факт'!$H$119/1000</f>
        <v>0</v>
      </c>
      <c r="J222" s="31">
        <f>'[4]Ф8 Приток факт'!$J$58/1000</f>
        <v>0</v>
      </c>
      <c r="K222" s="31">
        <f>'[5]Ф7 Приток БП утв.'!$J$58/1000</f>
        <v>1048.229973945856</v>
      </c>
      <c r="L222" s="31" t="s">
        <v>480</v>
      </c>
      <c r="M222" s="31">
        <f>'[5]Ф7 Приток БП утв.'!$AY$58/1000</f>
        <v>823.93872358560259</v>
      </c>
      <c r="N222" s="31" t="s">
        <v>480</v>
      </c>
      <c r="O222" s="31">
        <f>'[5]Ф7 Приток БП утв.'!$AZ$58/1000</f>
        <v>0</v>
      </c>
      <c r="P222" s="31" t="s">
        <v>480</v>
      </c>
      <c r="Q222" s="31">
        <f>'[5]Ф7 Приток БП утв.'!$BA$58/1000</f>
        <v>0</v>
      </c>
      <c r="R222" s="31" t="s">
        <v>480</v>
      </c>
      <c r="S222" s="33">
        <f t="shared" si="73"/>
        <v>823.93872358560259</v>
      </c>
      <c r="U222" s="87"/>
      <c r="V222" s="87"/>
    </row>
    <row r="223" spans="1:22" s="15" customFormat="1" ht="25.5" customHeight="1" x14ac:dyDescent="0.2">
      <c r="A223" s="110" t="s">
        <v>328</v>
      </c>
      <c r="B223" s="111"/>
      <c r="C223" s="115" t="s">
        <v>341</v>
      </c>
      <c r="D223" s="116"/>
      <c r="E223" s="116"/>
      <c r="F223" s="116"/>
      <c r="G223" s="117"/>
      <c r="H223" s="29" t="s">
        <v>3</v>
      </c>
      <c r="I223" s="31">
        <v>0</v>
      </c>
      <c r="J223" s="31">
        <v>0</v>
      </c>
      <c r="K223" s="31">
        <v>0</v>
      </c>
      <c r="L223" s="31" t="s">
        <v>480</v>
      </c>
      <c r="M223" s="31">
        <v>0</v>
      </c>
      <c r="N223" s="31" t="s">
        <v>480</v>
      </c>
      <c r="O223" s="31">
        <v>0</v>
      </c>
      <c r="P223" s="31" t="s">
        <v>480</v>
      </c>
      <c r="Q223" s="31">
        <v>0</v>
      </c>
      <c r="R223" s="31" t="s">
        <v>480</v>
      </c>
      <c r="S223" s="33">
        <f t="shared" si="73"/>
        <v>0</v>
      </c>
      <c r="U223" s="87"/>
      <c r="V223" s="87"/>
    </row>
    <row r="224" spans="1:22" s="15" customFormat="1" ht="25.5" customHeight="1" x14ac:dyDescent="0.2">
      <c r="A224" s="110" t="s">
        <v>329</v>
      </c>
      <c r="B224" s="111"/>
      <c r="C224" s="115" t="s">
        <v>342</v>
      </c>
      <c r="D224" s="116"/>
      <c r="E224" s="116"/>
      <c r="F224" s="116"/>
      <c r="G224" s="117"/>
      <c r="H224" s="29" t="s">
        <v>3</v>
      </c>
      <c r="I224" s="31">
        <v>0</v>
      </c>
      <c r="J224" s="31">
        <v>0</v>
      </c>
      <c r="K224" s="31">
        <v>0</v>
      </c>
      <c r="L224" s="31" t="s">
        <v>480</v>
      </c>
      <c r="M224" s="31">
        <v>0</v>
      </c>
      <c r="N224" s="31" t="s">
        <v>480</v>
      </c>
      <c r="O224" s="31">
        <v>0</v>
      </c>
      <c r="P224" s="31" t="s">
        <v>480</v>
      </c>
      <c r="Q224" s="31">
        <v>0</v>
      </c>
      <c r="R224" s="31" t="s">
        <v>480</v>
      </c>
      <c r="S224" s="33">
        <f t="shared" si="73"/>
        <v>0</v>
      </c>
      <c r="U224" s="87"/>
      <c r="V224" s="87"/>
    </row>
    <row r="225" spans="1:22" s="15" customFormat="1" ht="25.5" customHeight="1" x14ac:dyDescent="0.2">
      <c r="A225" s="110" t="s">
        <v>330</v>
      </c>
      <c r="B225" s="111"/>
      <c r="C225" s="112" t="s">
        <v>343</v>
      </c>
      <c r="D225" s="113"/>
      <c r="E225" s="113"/>
      <c r="F225" s="113"/>
      <c r="G225" s="114"/>
      <c r="H225" s="29" t="s">
        <v>3</v>
      </c>
      <c r="I225" s="31"/>
      <c r="J225" s="31"/>
      <c r="K225" s="31">
        <f>'[5]Ф7 Приток БП утв.'!$J$57/1000</f>
        <v>0</v>
      </c>
      <c r="L225" s="31" t="s">
        <v>480</v>
      </c>
      <c r="M225" s="31">
        <f>'[5]Ф7 Приток БП утв.'!$AY$57/1000</f>
        <v>1872.1686975314587</v>
      </c>
      <c r="N225" s="31" t="s">
        <v>480</v>
      </c>
      <c r="O225" s="31">
        <f>'[5]Ф7 Приток БП утв.'!$AZ$57/1000</f>
        <v>812.31565076064862</v>
      </c>
      <c r="P225" s="31" t="s">
        <v>480</v>
      </c>
      <c r="Q225" s="31">
        <f>'[5]Ф7 Приток БП утв.'!$BA$57/1000</f>
        <v>800.69258024439421</v>
      </c>
      <c r="R225" s="31" t="s">
        <v>480</v>
      </c>
      <c r="S225" s="33">
        <f t="shared" si="73"/>
        <v>3485.1769285365017</v>
      </c>
      <c r="U225" s="87"/>
      <c r="V225" s="87"/>
    </row>
    <row r="226" spans="1:22" s="15" customFormat="1" ht="25.5" customHeight="1" x14ac:dyDescent="0.2">
      <c r="A226" s="110" t="s">
        <v>331</v>
      </c>
      <c r="B226" s="111"/>
      <c r="C226" s="112" t="s">
        <v>344</v>
      </c>
      <c r="D226" s="113"/>
      <c r="E226" s="113"/>
      <c r="F226" s="113"/>
      <c r="G226" s="114"/>
      <c r="H226" s="29" t="s">
        <v>3</v>
      </c>
      <c r="I226" s="31">
        <v>0</v>
      </c>
      <c r="J226" s="31">
        <v>0</v>
      </c>
      <c r="K226" s="31">
        <v>0</v>
      </c>
      <c r="L226" s="31" t="s">
        <v>480</v>
      </c>
      <c r="M226" s="31">
        <v>0</v>
      </c>
      <c r="N226" s="31" t="s">
        <v>480</v>
      </c>
      <c r="O226" s="31">
        <v>0</v>
      </c>
      <c r="P226" s="31" t="s">
        <v>480</v>
      </c>
      <c r="Q226" s="31">
        <v>0</v>
      </c>
      <c r="R226" s="31" t="s">
        <v>480</v>
      </c>
      <c r="S226" s="33">
        <f t="shared" si="73"/>
        <v>0</v>
      </c>
      <c r="U226" s="87"/>
      <c r="V226" s="87"/>
    </row>
    <row r="227" spans="1:22" s="15" customFormat="1" ht="25.5" customHeight="1" x14ac:dyDescent="0.2">
      <c r="A227" s="110" t="s">
        <v>332</v>
      </c>
      <c r="B227" s="111"/>
      <c r="C227" s="115" t="s">
        <v>345</v>
      </c>
      <c r="D227" s="116"/>
      <c r="E227" s="116"/>
      <c r="F227" s="116"/>
      <c r="G227" s="117"/>
      <c r="H227" s="29" t="s">
        <v>3</v>
      </c>
      <c r="I227" s="31">
        <v>0</v>
      </c>
      <c r="J227" s="31">
        <v>0</v>
      </c>
      <c r="K227" s="31">
        <v>0</v>
      </c>
      <c r="L227" s="31" t="s">
        <v>480</v>
      </c>
      <c r="M227" s="31">
        <v>0</v>
      </c>
      <c r="N227" s="31" t="s">
        <v>480</v>
      </c>
      <c r="O227" s="31">
        <v>0</v>
      </c>
      <c r="P227" s="31" t="s">
        <v>480</v>
      </c>
      <c r="Q227" s="31">
        <v>0</v>
      </c>
      <c r="R227" s="31" t="s">
        <v>480</v>
      </c>
      <c r="S227" s="33">
        <f t="shared" si="73"/>
        <v>0</v>
      </c>
      <c r="U227" s="87"/>
      <c r="V227" s="87"/>
    </row>
    <row r="228" spans="1:22" s="15" customFormat="1" ht="25.5" customHeight="1" x14ac:dyDescent="0.2">
      <c r="A228" s="110" t="s">
        <v>333</v>
      </c>
      <c r="B228" s="111"/>
      <c r="C228" s="115" t="s">
        <v>674</v>
      </c>
      <c r="D228" s="116"/>
      <c r="E228" s="116"/>
      <c r="F228" s="116"/>
      <c r="G228" s="117"/>
      <c r="H228" s="29" t="s">
        <v>3</v>
      </c>
      <c r="I228" s="31">
        <f>'[3]Ф8 Приток факт'!$H$141/1000</f>
        <v>-4.7293808400000001</v>
      </c>
      <c r="J228" s="31">
        <f>'[4]Ф8 Приток факт'!$J$68/1000</f>
        <v>1.632907840000009</v>
      </c>
      <c r="K228" s="31">
        <f>'[5]Ф7 Приток БП утв.'!$J$68/1000</f>
        <v>0</v>
      </c>
      <c r="L228" s="31" t="s">
        <v>480</v>
      </c>
      <c r="M228" s="31">
        <f>'[5]Ф7 Приток БП утв.'!$AY$68/1000</f>
        <v>0</v>
      </c>
      <c r="N228" s="31" t="s">
        <v>480</v>
      </c>
      <c r="O228" s="31">
        <f>'[5]Ф7 Приток БП утв.'!$AZ$68/1000</f>
        <v>0</v>
      </c>
      <c r="P228" s="31" t="s">
        <v>480</v>
      </c>
      <c r="Q228" s="31">
        <f>'[5]Ф7 Приток БП утв.'!$BA$68/1000</f>
        <v>0</v>
      </c>
      <c r="R228" s="31" t="s">
        <v>480</v>
      </c>
      <c r="S228" s="33">
        <f t="shared" ref="S228:S247" si="102">M228+O228+Q228</f>
        <v>0</v>
      </c>
      <c r="U228" s="87"/>
      <c r="V228" s="87"/>
    </row>
    <row r="229" spans="1:22" s="15" customFormat="1" ht="25.5" customHeight="1" x14ac:dyDescent="0.2">
      <c r="A229" s="110" t="s">
        <v>334</v>
      </c>
      <c r="B229" s="111"/>
      <c r="C229" s="112" t="s">
        <v>346</v>
      </c>
      <c r="D229" s="113"/>
      <c r="E229" s="113"/>
      <c r="F229" s="113"/>
      <c r="G229" s="114"/>
      <c r="H229" s="29" t="s">
        <v>3</v>
      </c>
      <c r="I229" s="31">
        <f>'[3]Ф8 Приток факт'!$H$143/1000</f>
        <v>0</v>
      </c>
      <c r="J229" s="31">
        <f>'[4]Ф8 Приток факт'!$J$69+'[4]Ф8 Приток факт'!$J$70</f>
        <v>0</v>
      </c>
      <c r="K229" s="31">
        <f>('[5]Ф7 Приток БП утв.'!$J$69+'[5]Ф7 Приток БП утв.'!$J$70)/1000</f>
        <v>0</v>
      </c>
      <c r="L229" s="31" t="s">
        <v>480</v>
      </c>
      <c r="M229" s="31">
        <f>('[5]Ф7 Приток БП утв.'!$AY$69+'[5]Ф7 Приток БП утв.'!$AY$70)/1000</f>
        <v>0</v>
      </c>
      <c r="N229" s="31" t="s">
        <v>480</v>
      </c>
      <c r="O229" s="31">
        <f>('[5]Ф7 Приток БП утв.'!$AZ$69+'[5]Ф7 Приток БП утв.'!$AZ$70)/1000</f>
        <v>0</v>
      </c>
      <c r="P229" s="31" t="s">
        <v>480</v>
      </c>
      <c r="Q229" s="31">
        <f>('[5]Ф7 Приток БП утв.'!$BA$69+'[5]Ф7 Приток БП утв.'!$BA$70)/1000</f>
        <v>0</v>
      </c>
      <c r="R229" s="31" t="s">
        <v>480</v>
      </c>
      <c r="S229" s="33">
        <f t="shared" si="102"/>
        <v>0</v>
      </c>
      <c r="U229" s="87"/>
      <c r="V229" s="87"/>
    </row>
    <row r="230" spans="1:22" s="15" customFormat="1" ht="25.5" customHeight="1" x14ac:dyDescent="0.2">
      <c r="A230" s="110" t="s">
        <v>335</v>
      </c>
      <c r="B230" s="111"/>
      <c r="C230" s="112" t="s">
        <v>347</v>
      </c>
      <c r="D230" s="113"/>
      <c r="E230" s="113"/>
      <c r="F230" s="113"/>
      <c r="G230" s="114"/>
      <c r="H230" s="29" t="s">
        <v>3</v>
      </c>
      <c r="I230" s="31">
        <v>0</v>
      </c>
      <c r="J230" s="31">
        <v>0</v>
      </c>
      <c r="K230" s="31">
        <v>0</v>
      </c>
      <c r="L230" s="31" t="s">
        <v>480</v>
      </c>
      <c r="M230" s="31">
        <v>0</v>
      </c>
      <c r="N230" s="31" t="s">
        <v>480</v>
      </c>
      <c r="O230" s="31">
        <v>0</v>
      </c>
      <c r="P230" s="31" t="s">
        <v>480</v>
      </c>
      <c r="Q230" s="31">
        <v>0</v>
      </c>
      <c r="R230" s="31" t="s">
        <v>480</v>
      </c>
      <c r="S230" s="33">
        <f t="shared" si="102"/>
        <v>0</v>
      </c>
      <c r="U230" s="87"/>
      <c r="V230" s="87"/>
    </row>
    <row r="231" spans="1:22" s="15" customFormat="1" ht="25.5" customHeight="1" x14ac:dyDescent="0.2">
      <c r="A231" s="110" t="s">
        <v>336</v>
      </c>
      <c r="B231" s="111"/>
      <c r="C231" s="112" t="s">
        <v>348</v>
      </c>
      <c r="D231" s="113"/>
      <c r="E231" s="113"/>
      <c r="F231" s="113"/>
      <c r="G231" s="114"/>
      <c r="H231" s="29" t="s">
        <v>3</v>
      </c>
      <c r="I231" s="31">
        <f>'[3]Ф8 Приток факт'!$H$151/1000-I220-I221-I225-I226-I229-I230</f>
        <v>6.9966816600000028</v>
      </c>
      <c r="J231" s="31">
        <f>'[4]Ф8 Приток факт'!$J$56/1000-J220-J221-J225-J226-J229-J230</f>
        <v>1.6329078400000094</v>
      </c>
      <c r="K231" s="31">
        <f>'[5]Ф7 Приток БП утв.'!$J$56/1000-K220-K221-K225-K226-K229-K230</f>
        <v>0</v>
      </c>
      <c r="L231" s="31" t="s">
        <v>480</v>
      </c>
      <c r="M231" s="31">
        <f>'[5]Ф7 Приток БП утв.'!$AY$56/1000-M220-M221-M225-M226-M229-M230</f>
        <v>0</v>
      </c>
      <c r="N231" s="31" t="s">
        <v>480</v>
      </c>
      <c r="O231" s="31">
        <f>'[5]Ф7 Приток БП утв.'!$AZ$56/1000-O220-O221-O225-O226-O229-O230</f>
        <v>0</v>
      </c>
      <c r="P231" s="31" t="s">
        <v>480</v>
      </c>
      <c r="Q231" s="31">
        <f>'[5]Ф7 Приток БП утв.'!$BA$56/1000-Q220-Q221-Q225-Q226-Q229-Q230</f>
        <v>0</v>
      </c>
      <c r="R231" s="31" t="s">
        <v>480</v>
      </c>
      <c r="S231" s="33">
        <f t="shared" si="102"/>
        <v>0</v>
      </c>
      <c r="U231" s="87"/>
      <c r="V231" s="87"/>
    </row>
    <row r="232" spans="1:22" s="15" customFormat="1" ht="25.5" customHeight="1" x14ac:dyDescent="0.2">
      <c r="A232" s="110" t="s">
        <v>337</v>
      </c>
      <c r="B232" s="111"/>
      <c r="C232" s="118" t="s">
        <v>349</v>
      </c>
      <c r="D232" s="119"/>
      <c r="E232" s="119"/>
      <c r="F232" s="119"/>
      <c r="G232" s="120"/>
      <c r="H232" s="29" t="s">
        <v>3</v>
      </c>
      <c r="I232" s="31">
        <f t="shared" ref="I232:J232" si="103">I233+I237+I238</f>
        <v>-3.2463156300000002</v>
      </c>
      <c r="J232" s="31">
        <f t="shared" si="103"/>
        <v>0</v>
      </c>
      <c r="K232" s="31">
        <f t="shared" ref="K232:M232" si="104">K233+K237+K238</f>
        <v>0</v>
      </c>
      <c r="L232" s="31" t="s">
        <v>480</v>
      </c>
      <c r="M232" s="31">
        <f t="shared" si="104"/>
        <v>1872.1686975314587</v>
      </c>
      <c r="N232" s="31" t="s">
        <v>480</v>
      </c>
      <c r="O232" s="31">
        <f t="shared" ref="O232" si="105">O233+O237+O238</f>
        <v>0</v>
      </c>
      <c r="P232" s="31" t="s">
        <v>480</v>
      </c>
      <c r="Q232" s="31">
        <f t="shared" ref="Q232" si="106">Q233+Q237+Q238</f>
        <v>0</v>
      </c>
      <c r="R232" s="31" t="s">
        <v>480</v>
      </c>
      <c r="S232" s="33">
        <f t="shared" si="102"/>
        <v>1872.1686975314587</v>
      </c>
      <c r="U232" s="87"/>
      <c r="V232" s="87"/>
    </row>
    <row r="233" spans="1:22" s="15" customFormat="1" ht="25.5" customHeight="1" x14ac:dyDescent="0.2">
      <c r="A233" s="110" t="s">
        <v>354</v>
      </c>
      <c r="B233" s="111"/>
      <c r="C233" s="112" t="s">
        <v>684</v>
      </c>
      <c r="D233" s="113"/>
      <c r="E233" s="113"/>
      <c r="F233" s="113"/>
      <c r="G233" s="114"/>
      <c r="H233" s="29" t="s">
        <v>3</v>
      </c>
      <c r="I233" s="31">
        <f>I234+I235+I236</f>
        <v>0</v>
      </c>
      <c r="J233" s="31">
        <f>J234+J235+J236</f>
        <v>0</v>
      </c>
      <c r="K233" s="31">
        <f t="shared" ref="K233" si="107">K234+K235+K236</f>
        <v>0</v>
      </c>
      <c r="L233" s="31" t="s">
        <v>480</v>
      </c>
      <c r="M233" s="31">
        <f t="shared" ref="M233" si="108">M234+M235+M236</f>
        <v>1872.1686975314587</v>
      </c>
      <c r="N233" s="31" t="s">
        <v>480</v>
      </c>
      <c r="O233" s="31">
        <f t="shared" ref="O233" si="109">O234+O235+O236</f>
        <v>0</v>
      </c>
      <c r="P233" s="31" t="s">
        <v>480</v>
      </c>
      <c r="Q233" s="31">
        <f t="shared" ref="Q233" si="110">Q234+Q235+Q236</f>
        <v>0</v>
      </c>
      <c r="R233" s="31" t="s">
        <v>480</v>
      </c>
      <c r="S233" s="33">
        <f t="shared" si="102"/>
        <v>1872.1686975314587</v>
      </c>
      <c r="U233" s="87"/>
      <c r="V233" s="87"/>
    </row>
    <row r="234" spans="1:22" s="15" customFormat="1" ht="25.5" customHeight="1" x14ac:dyDescent="0.2">
      <c r="A234" s="110" t="s">
        <v>355</v>
      </c>
      <c r="B234" s="111"/>
      <c r="C234" s="115" t="s">
        <v>340</v>
      </c>
      <c r="D234" s="116"/>
      <c r="E234" s="116"/>
      <c r="F234" s="116"/>
      <c r="G234" s="117"/>
      <c r="H234" s="29" t="s">
        <v>3</v>
      </c>
      <c r="I234" s="31">
        <f>'[3]Ф8 Отток факт'!$H$197/1000</f>
        <v>0</v>
      </c>
      <c r="J234" s="31">
        <f>('[4]Ф8 Отток факт'!$J$239+'[4]Ф8 Отток факт'!$J$242)/1000</f>
        <v>0</v>
      </c>
      <c r="K234" s="31">
        <f>('[5]Ф7 Отток БП утв.'!$J$239+'[5]Ф7 Отток БП утв.'!$J$242)/1000</f>
        <v>0</v>
      </c>
      <c r="L234" s="31" t="s">
        <v>480</v>
      </c>
      <c r="M234" s="31">
        <f>('[5]Ф7 Отток БП утв.'!$AY$239+'[5]Ф7 Отток БП утв.'!$AY$242)/1000</f>
        <v>1872.1686975314587</v>
      </c>
      <c r="N234" s="31" t="s">
        <v>480</v>
      </c>
      <c r="O234" s="31">
        <f>('[5]Ф7 Отток БП утв.'!$AZ$239+'[5]Ф7 Отток БП утв.'!$AZ$242)/1000</f>
        <v>0</v>
      </c>
      <c r="P234" s="31" t="s">
        <v>480</v>
      </c>
      <c r="Q234" s="31">
        <f>('[5]Ф7 Отток БП утв.'!$BA$239+'[5]Ф7 Отток БП утв.'!$BA$242)/1000</f>
        <v>0</v>
      </c>
      <c r="R234" s="31" t="s">
        <v>480</v>
      </c>
      <c r="S234" s="33">
        <f t="shared" si="102"/>
        <v>1872.1686975314587</v>
      </c>
      <c r="U234" s="87"/>
      <c r="V234" s="87"/>
    </row>
    <row r="235" spans="1:22" s="15" customFormat="1" ht="25.5" customHeight="1" x14ac:dyDescent="0.2">
      <c r="A235" s="110" t="s">
        <v>356</v>
      </c>
      <c r="B235" s="111"/>
      <c r="C235" s="115" t="s">
        <v>341</v>
      </c>
      <c r="D235" s="116"/>
      <c r="E235" s="116"/>
      <c r="F235" s="116"/>
      <c r="G235" s="117"/>
      <c r="H235" s="29" t="s">
        <v>3</v>
      </c>
      <c r="I235" s="31">
        <v>0</v>
      </c>
      <c r="J235" s="31">
        <v>0</v>
      </c>
      <c r="K235" s="31">
        <v>0</v>
      </c>
      <c r="L235" s="31" t="s">
        <v>480</v>
      </c>
      <c r="M235" s="31">
        <v>0</v>
      </c>
      <c r="N235" s="31" t="s">
        <v>480</v>
      </c>
      <c r="O235" s="31">
        <v>0</v>
      </c>
      <c r="P235" s="31" t="s">
        <v>480</v>
      </c>
      <c r="Q235" s="31">
        <v>0</v>
      </c>
      <c r="R235" s="31" t="s">
        <v>480</v>
      </c>
      <c r="S235" s="33">
        <f t="shared" si="102"/>
        <v>0</v>
      </c>
      <c r="U235" s="87"/>
      <c r="V235" s="87"/>
    </row>
    <row r="236" spans="1:22" s="15" customFormat="1" ht="25.5" customHeight="1" x14ac:dyDescent="0.2">
      <c r="A236" s="110" t="s">
        <v>357</v>
      </c>
      <c r="B236" s="111"/>
      <c r="C236" s="115" t="s">
        <v>342</v>
      </c>
      <c r="D236" s="116"/>
      <c r="E236" s="116"/>
      <c r="F236" s="116"/>
      <c r="G236" s="117"/>
      <c r="H236" s="29" t="s">
        <v>3</v>
      </c>
      <c r="I236" s="31">
        <v>0</v>
      </c>
      <c r="J236" s="31">
        <v>0</v>
      </c>
      <c r="K236" s="31">
        <v>0</v>
      </c>
      <c r="L236" s="31" t="s">
        <v>480</v>
      </c>
      <c r="M236" s="31">
        <v>0</v>
      </c>
      <c r="N236" s="31" t="s">
        <v>480</v>
      </c>
      <c r="O236" s="31">
        <v>0</v>
      </c>
      <c r="P236" s="31" t="s">
        <v>480</v>
      </c>
      <c r="Q236" s="31">
        <v>0</v>
      </c>
      <c r="R236" s="31" t="s">
        <v>480</v>
      </c>
      <c r="S236" s="33">
        <f t="shared" si="102"/>
        <v>0</v>
      </c>
      <c r="U236" s="87"/>
      <c r="V236" s="87"/>
    </row>
    <row r="237" spans="1:22" s="15" customFormat="1" ht="25.5" customHeight="1" x14ac:dyDescent="0.2">
      <c r="A237" s="110" t="s">
        <v>358</v>
      </c>
      <c r="B237" s="111"/>
      <c r="C237" s="112" t="s">
        <v>212</v>
      </c>
      <c r="D237" s="113"/>
      <c r="E237" s="113"/>
      <c r="F237" s="113"/>
      <c r="G237" s="114"/>
      <c r="H237" s="29" t="s">
        <v>3</v>
      </c>
      <c r="I237" s="31">
        <v>0</v>
      </c>
      <c r="J237" s="31">
        <v>0</v>
      </c>
      <c r="K237" s="31">
        <v>0</v>
      </c>
      <c r="L237" s="31" t="s">
        <v>480</v>
      </c>
      <c r="M237" s="31">
        <v>0</v>
      </c>
      <c r="N237" s="31" t="s">
        <v>480</v>
      </c>
      <c r="O237" s="31">
        <v>0</v>
      </c>
      <c r="P237" s="31" t="s">
        <v>480</v>
      </c>
      <c r="Q237" s="31">
        <v>0</v>
      </c>
      <c r="R237" s="31" t="s">
        <v>480</v>
      </c>
      <c r="S237" s="33">
        <f t="shared" si="102"/>
        <v>0</v>
      </c>
      <c r="U237" s="87"/>
      <c r="V237" s="87"/>
    </row>
    <row r="238" spans="1:22" s="15" customFormat="1" ht="25.5" customHeight="1" x14ac:dyDescent="0.2">
      <c r="A238" s="110" t="s">
        <v>359</v>
      </c>
      <c r="B238" s="111"/>
      <c r="C238" s="112" t="s">
        <v>361</v>
      </c>
      <c r="D238" s="113"/>
      <c r="E238" s="113"/>
      <c r="F238" s="113"/>
      <c r="G238" s="114"/>
      <c r="H238" s="29" t="s">
        <v>3</v>
      </c>
      <c r="I238" s="31">
        <f>('[3]Ф8 Отток факт'!$H$235-'[3]Ф8 Отток факт'!$H$197)/1000</f>
        <v>-3.2463156300000002</v>
      </c>
      <c r="J238" s="31">
        <v>0</v>
      </c>
      <c r="K238" s="31">
        <v>0</v>
      </c>
      <c r="L238" s="31" t="s">
        <v>480</v>
      </c>
      <c r="M238" s="31">
        <v>0</v>
      </c>
      <c r="N238" s="31" t="s">
        <v>480</v>
      </c>
      <c r="O238" s="31">
        <v>0</v>
      </c>
      <c r="P238" s="31" t="s">
        <v>480</v>
      </c>
      <c r="Q238" s="31">
        <v>0</v>
      </c>
      <c r="R238" s="31" t="s">
        <v>480</v>
      </c>
      <c r="S238" s="33">
        <f t="shared" si="102"/>
        <v>0</v>
      </c>
      <c r="U238" s="87"/>
      <c r="V238" s="87"/>
    </row>
    <row r="239" spans="1:22" s="15" customFormat="1" ht="25.5" customHeight="1" x14ac:dyDescent="0.2">
      <c r="A239" s="110" t="s">
        <v>360</v>
      </c>
      <c r="B239" s="111"/>
      <c r="C239" s="118" t="s">
        <v>362</v>
      </c>
      <c r="D239" s="119"/>
      <c r="E239" s="119"/>
      <c r="F239" s="119"/>
      <c r="G239" s="120"/>
      <c r="H239" s="29" t="s">
        <v>3</v>
      </c>
      <c r="I239" s="31">
        <f t="shared" ref="I239:J239" si="111">I164-I182</f>
        <v>12.832349233999594</v>
      </c>
      <c r="J239" s="31">
        <f t="shared" si="111"/>
        <v>-4.3752729730022111</v>
      </c>
      <c r="K239" s="31">
        <f t="shared" ref="K239" si="112">K164-K182</f>
        <v>-1048.391603427388</v>
      </c>
      <c r="L239" s="31" t="s">
        <v>480</v>
      </c>
      <c r="M239" s="31">
        <f t="shared" ref="M239" si="113">M164-M182</f>
        <v>-727.29466929455702</v>
      </c>
      <c r="N239" s="31" t="s">
        <v>480</v>
      </c>
      <c r="O239" s="31">
        <f t="shared" ref="O239" si="114">O164-O182</f>
        <v>-715.8920874104906</v>
      </c>
      <c r="P239" s="31" t="s">
        <v>480</v>
      </c>
      <c r="Q239" s="31">
        <f t="shared" ref="Q239" si="115">Q164-Q182</f>
        <v>-725.59533506451044</v>
      </c>
      <c r="R239" s="31" t="s">
        <v>480</v>
      </c>
      <c r="S239" s="33">
        <f t="shared" si="102"/>
        <v>-2168.7820917695581</v>
      </c>
      <c r="U239" s="87"/>
      <c r="V239" s="87"/>
    </row>
    <row r="240" spans="1:22" s="15" customFormat="1" ht="25.5" customHeight="1" x14ac:dyDescent="0.2">
      <c r="A240" s="110" t="s">
        <v>363</v>
      </c>
      <c r="B240" s="111"/>
      <c r="C240" s="118" t="s">
        <v>685</v>
      </c>
      <c r="D240" s="119"/>
      <c r="E240" s="119"/>
      <c r="F240" s="119"/>
      <c r="G240" s="120"/>
      <c r="H240" s="29" t="s">
        <v>3</v>
      </c>
      <c r="I240" s="31">
        <f t="shared" ref="I240:J240" si="116">I200-I207</f>
        <v>-2.1318829799999999</v>
      </c>
      <c r="J240" s="31">
        <f t="shared" si="116"/>
        <v>1.6E-2</v>
      </c>
      <c r="K240" s="31">
        <f t="shared" ref="K240" si="117">K200-K207</f>
        <v>0</v>
      </c>
      <c r="L240" s="31" t="s">
        <v>480</v>
      </c>
      <c r="M240" s="31">
        <f t="shared" ref="M240" si="118">M200-M207</f>
        <v>-96.85788773367058</v>
      </c>
      <c r="N240" s="31" t="s">
        <v>480</v>
      </c>
      <c r="O240" s="31">
        <f t="shared" ref="O240" si="119">O200-O207</f>
        <v>-78.682010672840988</v>
      </c>
      <c r="P240" s="31" t="s">
        <v>480</v>
      </c>
      <c r="Q240" s="31">
        <f t="shared" ref="Q240" si="120">Q200-Q207</f>
        <v>-90.001411769103768</v>
      </c>
      <c r="R240" s="31" t="s">
        <v>480</v>
      </c>
      <c r="S240" s="33">
        <f t="shared" si="102"/>
        <v>-265.54131017561531</v>
      </c>
      <c r="U240" s="87"/>
      <c r="V240" s="87"/>
    </row>
    <row r="241" spans="1:22" s="15" customFormat="1" ht="25.5" customHeight="1" x14ac:dyDescent="0.2">
      <c r="A241" s="110" t="s">
        <v>364</v>
      </c>
      <c r="B241" s="111"/>
      <c r="C241" s="112" t="s">
        <v>411</v>
      </c>
      <c r="D241" s="113"/>
      <c r="E241" s="113"/>
      <c r="F241" s="113"/>
      <c r="G241" s="114"/>
      <c r="H241" s="29" t="s">
        <v>3</v>
      </c>
      <c r="I241" s="31">
        <f t="shared" ref="I241:J241" si="121">I240</f>
        <v>-2.1318829799999999</v>
      </c>
      <c r="J241" s="31">
        <f t="shared" si="121"/>
        <v>1.6E-2</v>
      </c>
      <c r="K241" s="31">
        <f t="shared" ref="K241" si="122">K240</f>
        <v>0</v>
      </c>
      <c r="L241" s="31" t="s">
        <v>480</v>
      </c>
      <c r="M241" s="31">
        <f t="shared" ref="M241" si="123">M240</f>
        <v>-96.85788773367058</v>
      </c>
      <c r="N241" s="31" t="s">
        <v>480</v>
      </c>
      <c r="O241" s="31">
        <f t="shared" ref="O241" si="124">O240</f>
        <v>-78.682010672840988</v>
      </c>
      <c r="P241" s="31" t="s">
        <v>480</v>
      </c>
      <c r="Q241" s="31">
        <f t="shared" ref="Q241" si="125">Q240</f>
        <v>-90.001411769103768</v>
      </c>
      <c r="R241" s="31" t="s">
        <v>480</v>
      </c>
      <c r="S241" s="33">
        <f t="shared" si="102"/>
        <v>-265.54131017561531</v>
      </c>
      <c r="U241" s="87"/>
      <c r="V241" s="87"/>
    </row>
    <row r="242" spans="1:22" s="15" customFormat="1" ht="25.5" customHeight="1" x14ac:dyDescent="0.2">
      <c r="A242" s="110" t="s">
        <v>365</v>
      </c>
      <c r="B242" s="111"/>
      <c r="C242" s="112" t="s">
        <v>412</v>
      </c>
      <c r="D242" s="113"/>
      <c r="E242" s="113"/>
      <c r="F242" s="113"/>
      <c r="G242" s="114"/>
      <c r="H242" s="29" t="s">
        <v>3</v>
      </c>
      <c r="I242" s="31">
        <v>0</v>
      </c>
      <c r="J242" s="31">
        <v>0</v>
      </c>
      <c r="K242" s="31">
        <v>0</v>
      </c>
      <c r="L242" s="31" t="s">
        <v>480</v>
      </c>
      <c r="M242" s="31">
        <v>0</v>
      </c>
      <c r="N242" s="31" t="s">
        <v>480</v>
      </c>
      <c r="O242" s="31">
        <v>0</v>
      </c>
      <c r="P242" s="31" t="s">
        <v>480</v>
      </c>
      <c r="Q242" s="31">
        <v>0</v>
      </c>
      <c r="R242" s="31" t="s">
        <v>480</v>
      </c>
      <c r="S242" s="33">
        <f t="shared" si="102"/>
        <v>0</v>
      </c>
      <c r="U242" s="87"/>
      <c r="V242" s="87"/>
    </row>
    <row r="243" spans="1:22" s="15" customFormat="1" ht="25.5" customHeight="1" x14ac:dyDescent="0.2">
      <c r="A243" s="110" t="s">
        <v>366</v>
      </c>
      <c r="B243" s="111"/>
      <c r="C243" s="118" t="s">
        <v>413</v>
      </c>
      <c r="D243" s="119"/>
      <c r="E243" s="119"/>
      <c r="F243" s="119"/>
      <c r="G243" s="120"/>
      <c r="H243" s="29" t="s">
        <v>3</v>
      </c>
      <c r="I243" s="31">
        <f t="shared" ref="I243:J243" si="126">I219-I232</f>
        <v>11.205107300000003</v>
      </c>
      <c r="J243" s="31">
        <f t="shared" si="126"/>
        <v>8.9622419700000098</v>
      </c>
      <c r="K243" s="31">
        <f t="shared" ref="K243" si="127">K219-K232</f>
        <v>1048.229973945856</v>
      </c>
      <c r="L243" s="31" t="s">
        <v>480</v>
      </c>
      <c r="M243" s="31">
        <f t="shared" ref="M243" si="128">M219-M232</f>
        <v>823.93872358560247</v>
      </c>
      <c r="N243" s="31" t="s">
        <v>480</v>
      </c>
      <c r="O243" s="31">
        <f t="shared" ref="O243" si="129">O219-O232</f>
        <v>812.31565076064862</v>
      </c>
      <c r="P243" s="31" t="s">
        <v>480</v>
      </c>
      <c r="Q243" s="31">
        <f t="shared" ref="Q243" si="130">Q219-Q232</f>
        <v>800.69258024439421</v>
      </c>
      <c r="R243" s="31" t="s">
        <v>480</v>
      </c>
      <c r="S243" s="33">
        <f t="shared" si="102"/>
        <v>2436.9469545906454</v>
      </c>
      <c r="U243" s="87"/>
      <c r="V243" s="87"/>
    </row>
    <row r="244" spans="1:22" s="15" customFormat="1" ht="25.5" customHeight="1" x14ac:dyDescent="0.2">
      <c r="A244" s="110" t="s">
        <v>367</v>
      </c>
      <c r="B244" s="111"/>
      <c r="C244" s="112" t="s">
        <v>414</v>
      </c>
      <c r="D244" s="113"/>
      <c r="E244" s="113"/>
      <c r="F244" s="113"/>
      <c r="G244" s="114"/>
      <c r="H244" s="29" t="s">
        <v>3</v>
      </c>
      <c r="I244" s="31">
        <v>0</v>
      </c>
      <c r="J244" s="31">
        <v>0</v>
      </c>
      <c r="K244" s="31">
        <v>0</v>
      </c>
      <c r="L244" s="31" t="s">
        <v>480</v>
      </c>
      <c r="M244" s="31">
        <v>0</v>
      </c>
      <c r="N244" s="31" t="s">
        <v>480</v>
      </c>
      <c r="O244" s="31">
        <v>0</v>
      </c>
      <c r="P244" s="31" t="s">
        <v>480</v>
      </c>
      <c r="Q244" s="31">
        <v>0</v>
      </c>
      <c r="R244" s="31" t="s">
        <v>480</v>
      </c>
      <c r="S244" s="33">
        <f t="shared" si="102"/>
        <v>0</v>
      </c>
      <c r="U244" s="87"/>
      <c r="V244" s="87"/>
    </row>
    <row r="245" spans="1:22" s="15" customFormat="1" ht="25.5" customHeight="1" x14ac:dyDescent="0.2">
      <c r="A245" s="110" t="s">
        <v>368</v>
      </c>
      <c r="B245" s="111"/>
      <c r="C245" s="112" t="s">
        <v>415</v>
      </c>
      <c r="D245" s="113"/>
      <c r="E245" s="113"/>
      <c r="F245" s="113"/>
      <c r="G245" s="114"/>
      <c r="H245" s="29" t="s">
        <v>3</v>
      </c>
      <c r="I245" s="31">
        <f t="shared" ref="I245:J245" si="131">I243</f>
        <v>11.205107300000003</v>
      </c>
      <c r="J245" s="31">
        <f t="shared" si="131"/>
        <v>8.9622419700000098</v>
      </c>
      <c r="K245" s="31">
        <f t="shared" ref="K245" si="132">K243</f>
        <v>1048.229973945856</v>
      </c>
      <c r="L245" s="31" t="s">
        <v>480</v>
      </c>
      <c r="M245" s="31">
        <f t="shared" ref="M245" si="133">M243</f>
        <v>823.93872358560247</v>
      </c>
      <c r="N245" s="31" t="s">
        <v>480</v>
      </c>
      <c r="O245" s="31">
        <f t="shared" ref="O245" si="134">O243</f>
        <v>812.31565076064862</v>
      </c>
      <c r="P245" s="31" t="s">
        <v>480</v>
      </c>
      <c r="Q245" s="31">
        <f t="shared" ref="Q245" si="135">Q243</f>
        <v>800.69258024439421</v>
      </c>
      <c r="R245" s="31" t="s">
        <v>480</v>
      </c>
      <c r="S245" s="33">
        <f t="shared" si="102"/>
        <v>2436.9469545906454</v>
      </c>
      <c r="U245" s="87"/>
      <c r="V245" s="87"/>
    </row>
    <row r="246" spans="1:22" s="15" customFormat="1" ht="25.5" customHeight="1" x14ac:dyDescent="0.2">
      <c r="A246" s="110" t="s">
        <v>369</v>
      </c>
      <c r="B246" s="111"/>
      <c r="C246" s="118" t="s">
        <v>416</v>
      </c>
      <c r="D246" s="119"/>
      <c r="E246" s="119"/>
      <c r="F246" s="119"/>
      <c r="G246" s="120"/>
      <c r="H246" s="29" t="s">
        <v>3</v>
      </c>
      <c r="I246" s="31">
        <f>('[3]Ф8 Приток факт'!$H$96-'[3]Ф8 Отток факт'!$H$154-306.71)/1000</f>
        <v>7.0367147100000018</v>
      </c>
      <c r="J246" s="31">
        <f>('[4]Ф8 Приток факт'!$J$82-'[4]Ф8 Отток факт'!$J$256-7516.1)/1000</f>
        <v>-7.2267066900000012</v>
      </c>
      <c r="K246" s="31">
        <f>('[5]Ф7 Приток БП утв.'!$J$82-'[5]Ф7 Отток БП утв.'!$J$256)/1000</f>
        <v>0.18640318440000009</v>
      </c>
      <c r="L246" s="31" t="s">
        <v>480</v>
      </c>
      <c r="M246" s="31">
        <f>('[5]Ф7 Приток БП утв.'!$AY$82-'[5]Ф7 Отток БП утв.'!$AY$256)/1000</f>
        <v>0.2132954024253304</v>
      </c>
      <c r="N246" s="31" t="s">
        <v>480</v>
      </c>
      <c r="O246" s="31">
        <f>('[5]Ф7 Приток БП утв.'!$AZ$82-'[5]Ф7 Отток БП утв.'!$AZ$256)/1000</f>
        <v>0.24129901983963281</v>
      </c>
      <c r="P246" s="31" t="s">
        <v>480</v>
      </c>
      <c r="Q246" s="31">
        <f>('[5]Ф7 Приток БП утв.'!$BA$82-'[5]Ф7 Отток БП утв.'!$BA$256)/1000</f>
        <v>0.26954906908718113</v>
      </c>
      <c r="R246" s="31" t="s">
        <v>480</v>
      </c>
      <c r="S246" s="33">
        <f t="shared" si="102"/>
        <v>0.72414349135214429</v>
      </c>
      <c r="U246" s="87"/>
      <c r="V246" s="87"/>
    </row>
    <row r="247" spans="1:22" s="15" customFormat="1" ht="25.5" customHeight="1" x14ac:dyDescent="0.2">
      <c r="A247" s="110" t="s">
        <v>370</v>
      </c>
      <c r="B247" s="111"/>
      <c r="C247" s="118" t="s">
        <v>417</v>
      </c>
      <c r="D247" s="119"/>
      <c r="E247" s="119"/>
      <c r="F247" s="119"/>
      <c r="G247" s="120"/>
      <c r="H247" s="29" t="s">
        <v>3</v>
      </c>
      <c r="I247" s="31">
        <f t="shared" ref="I247:J247" si="136">I239+I240+I243+I246</f>
        <v>28.942288263999597</v>
      </c>
      <c r="J247" s="31">
        <f t="shared" si="136"/>
        <v>-2.6237376930022025</v>
      </c>
      <c r="K247" s="31">
        <f t="shared" ref="K247" si="137">K239+K240+K243+K246</f>
        <v>2.477370286808217E-2</v>
      </c>
      <c r="L247" s="31" t="s">
        <v>480</v>
      </c>
      <c r="M247" s="31">
        <f t="shared" ref="M247" si="138">M239+M240+M243+M246</f>
        <v>-5.3804019984271534E-4</v>
      </c>
      <c r="N247" s="31" t="s">
        <v>480</v>
      </c>
      <c r="O247" s="31">
        <f t="shared" ref="O247" si="139">O239+O240+O243+O246</f>
        <v>17.982851697156665</v>
      </c>
      <c r="P247" s="31" t="s">
        <v>480</v>
      </c>
      <c r="Q247" s="31">
        <f t="shared" ref="Q247" si="140">Q239+Q240+Q243+Q246</f>
        <v>-14.634617520132858</v>
      </c>
      <c r="R247" s="31" t="s">
        <v>480</v>
      </c>
      <c r="S247" s="33">
        <f t="shared" si="102"/>
        <v>3.3476961368239646</v>
      </c>
      <c r="U247" s="87"/>
      <c r="V247" s="87"/>
    </row>
    <row r="248" spans="1:22" s="15" customFormat="1" ht="25.5" customHeight="1" x14ac:dyDescent="0.2">
      <c r="A248" s="110" t="s">
        <v>371</v>
      </c>
      <c r="B248" s="111"/>
      <c r="C248" s="118" t="s">
        <v>418</v>
      </c>
      <c r="D248" s="119"/>
      <c r="E248" s="119"/>
      <c r="F248" s="119"/>
      <c r="G248" s="120"/>
      <c r="H248" s="29" t="s">
        <v>3</v>
      </c>
      <c r="I248" s="52">
        <f>'[3]Ф8 Приток факт'!$N$163/1000000</f>
        <v>20.181933449999999</v>
      </c>
      <c r="J248" s="52">
        <f>I249</f>
        <v>49.124221713999596</v>
      </c>
      <c r="K248" s="52">
        <f>J249</f>
        <v>46.500484020997391</v>
      </c>
      <c r="L248" s="52" t="s">
        <v>480</v>
      </c>
      <c r="M248" s="52">
        <f>K249</f>
        <v>46.525257723865472</v>
      </c>
      <c r="N248" s="52" t="s">
        <v>480</v>
      </c>
      <c r="O248" s="52">
        <f>M249</f>
        <v>46.52471968366563</v>
      </c>
      <c r="P248" s="52" t="s">
        <v>480</v>
      </c>
      <c r="Q248" s="52">
        <f>O249</f>
        <v>64.507571380822299</v>
      </c>
      <c r="R248" s="52" t="s">
        <v>480</v>
      </c>
      <c r="S248" s="53">
        <f>Q248</f>
        <v>64.507571380822299</v>
      </c>
      <c r="U248" s="87"/>
      <c r="V248" s="87"/>
    </row>
    <row r="249" spans="1:22" s="15" customFormat="1" ht="25.5" customHeight="1" thickBot="1" x14ac:dyDescent="0.25">
      <c r="A249" s="121" t="s">
        <v>372</v>
      </c>
      <c r="B249" s="122"/>
      <c r="C249" s="169" t="s">
        <v>419</v>
      </c>
      <c r="D249" s="170"/>
      <c r="E249" s="170"/>
      <c r="F249" s="170"/>
      <c r="G249" s="171"/>
      <c r="H249" s="39" t="s">
        <v>3</v>
      </c>
      <c r="I249" s="54">
        <f>I248+I247</f>
        <v>49.124221713999596</v>
      </c>
      <c r="J249" s="54">
        <f>J248+J247</f>
        <v>46.500484020997391</v>
      </c>
      <c r="K249" s="54">
        <f>K248+K247</f>
        <v>46.525257723865472</v>
      </c>
      <c r="L249" s="54" t="s">
        <v>480</v>
      </c>
      <c r="M249" s="54">
        <f>M248+M247</f>
        <v>46.52471968366563</v>
      </c>
      <c r="N249" s="54" t="s">
        <v>480</v>
      </c>
      <c r="O249" s="54">
        <f>O248+O247</f>
        <v>64.507571380822299</v>
      </c>
      <c r="P249" s="54" t="s">
        <v>480</v>
      </c>
      <c r="Q249" s="54">
        <f>Q248+Q247</f>
        <v>49.872953860689442</v>
      </c>
      <c r="R249" s="54" t="s">
        <v>480</v>
      </c>
      <c r="S249" s="55">
        <f>Q249</f>
        <v>49.872953860689442</v>
      </c>
      <c r="U249" s="87"/>
      <c r="V249" s="87"/>
    </row>
    <row r="250" spans="1:22" s="15" customFormat="1" ht="25.5" customHeight="1" x14ac:dyDescent="0.2">
      <c r="A250" s="129" t="s">
        <v>373</v>
      </c>
      <c r="B250" s="130"/>
      <c r="C250" s="131" t="s">
        <v>111</v>
      </c>
      <c r="D250" s="132"/>
      <c r="E250" s="132"/>
      <c r="F250" s="132"/>
      <c r="G250" s="133"/>
      <c r="H250" s="46" t="s">
        <v>480</v>
      </c>
      <c r="I250" s="47" t="s">
        <v>480</v>
      </c>
      <c r="J250" s="48" t="s">
        <v>480</v>
      </c>
      <c r="K250" s="48" t="s">
        <v>480</v>
      </c>
      <c r="L250" s="48" t="s">
        <v>480</v>
      </c>
      <c r="M250" s="48" t="s">
        <v>480</v>
      </c>
      <c r="N250" s="48" t="s">
        <v>480</v>
      </c>
      <c r="O250" s="48" t="s">
        <v>480</v>
      </c>
      <c r="P250" s="48" t="s">
        <v>480</v>
      </c>
      <c r="Q250" s="48" t="s">
        <v>480</v>
      </c>
      <c r="R250" s="48" t="s">
        <v>480</v>
      </c>
      <c r="S250" s="50" t="s">
        <v>480</v>
      </c>
      <c r="U250" s="87"/>
      <c r="V250" s="87"/>
    </row>
    <row r="251" spans="1:22" s="15" customFormat="1" ht="25.5" customHeight="1" x14ac:dyDescent="0.2">
      <c r="A251" s="110" t="s">
        <v>374</v>
      </c>
      <c r="B251" s="111"/>
      <c r="C251" s="112" t="s">
        <v>420</v>
      </c>
      <c r="D251" s="113"/>
      <c r="E251" s="113"/>
      <c r="F251" s="113"/>
      <c r="G251" s="114"/>
      <c r="H251" s="29" t="s">
        <v>3</v>
      </c>
      <c r="I251" s="30">
        <f>I268+I278</f>
        <v>1762.0955500099997</v>
      </c>
      <c r="J251" s="31">
        <f>J268+J278</f>
        <v>2451.1861557299994</v>
      </c>
      <c r="K251" s="31">
        <f>K268+K278</f>
        <v>2757.8562914466402</v>
      </c>
      <c r="L251" s="31"/>
      <c r="M251" s="31">
        <f>M268+M278</f>
        <v>2757.8562914466402</v>
      </c>
      <c r="N251" s="31"/>
      <c r="O251" s="31">
        <f>O268+O278</f>
        <v>2757.8562914466402</v>
      </c>
      <c r="P251" s="31"/>
      <c r="Q251" s="31">
        <f>Q268+Q278</f>
        <v>2757.8562914466402</v>
      </c>
      <c r="R251" s="31" t="s">
        <v>480</v>
      </c>
      <c r="S251" s="33">
        <f>Q251</f>
        <v>2757.8562914466402</v>
      </c>
      <c r="U251" s="87"/>
      <c r="V251" s="87"/>
    </row>
    <row r="252" spans="1:22" s="15" customFormat="1" ht="25.5" customHeight="1" x14ac:dyDescent="0.2">
      <c r="A252" s="110" t="s">
        <v>375</v>
      </c>
      <c r="B252" s="111"/>
      <c r="C252" s="115" t="s">
        <v>421</v>
      </c>
      <c r="D252" s="116"/>
      <c r="E252" s="116"/>
      <c r="F252" s="116"/>
      <c r="G252" s="117"/>
      <c r="H252" s="29" t="s">
        <v>3</v>
      </c>
      <c r="I252" s="30" t="s">
        <v>480</v>
      </c>
      <c r="J252" s="31" t="s">
        <v>480</v>
      </c>
      <c r="K252" s="31" t="s">
        <v>480</v>
      </c>
      <c r="L252" s="31" t="s">
        <v>480</v>
      </c>
      <c r="M252" s="31" t="s">
        <v>480</v>
      </c>
      <c r="N252" s="31" t="s">
        <v>480</v>
      </c>
      <c r="O252" s="31" t="s">
        <v>480</v>
      </c>
      <c r="P252" s="31" t="s">
        <v>480</v>
      </c>
      <c r="Q252" s="31" t="s">
        <v>480</v>
      </c>
      <c r="R252" s="31" t="s">
        <v>480</v>
      </c>
      <c r="S252" s="33" t="s">
        <v>480</v>
      </c>
      <c r="U252" s="87"/>
      <c r="V252" s="87"/>
    </row>
    <row r="253" spans="1:22" s="15" customFormat="1" ht="25.5" customHeight="1" x14ac:dyDescent="0.2">
      <c r="A253" s="110" t="s">
        <v>376</v>
      </c>
      <c r="B253" s="111"/>
      <c r="C253" s="107" t="s">
        <v>422</v>
      </c>
      <c r="D253" s="108"/>
      <c r="E253" s="108"/>
      <c r="F253" s="108"/>
      <c r="G253" s="109"/>
      <c r="H253" s="29" t="s">
        <v>3</v>
      </c>
      <c r="I253" s="30" t="s">
        <v>480</v>
      </c>
      <c r="J253" s="31" t="s">
        <v>480</v>
      </c>
      <c r="K253" s="31" t="s">
        <v>480</v>
      </c>
      <c r="L253" s="31" t="s">
        <v>480</v>
      </c>
      <c r="M253" s="31" t="s">
        <v>480</v>
      </c>
      <c r="N253" s="31" t="s">
        <v>480</v>
      </c>
      <c r="O253" s="31" t="s">
        <v>480</v>
      </c>
      <c r="P253" s="31" t="s">
        <v>480</v>
      </c>
      <c r="Q253" s="31" t="s">
        <v>480</v>
      </c>
      <c r="R253" s="31" t="s">
        <v>480</v>
      </c>
      <c r="S253" s="33" t="s">
        <v>480</v>
      </c>
      <c r="U253" s="87"/>
      <c r="V253" s="87"/>
    </row>
    <row r="254" spans="1:22" s="15" customFormat="1" ht="25.5" customHeight="1" x14ac:dyDescent="0.2">
      <c r="A254" s="110" t="s">
        <v>377</v>
      </c>
      <c r="B254" s="111"/>
      <c r="C254" s="107" t="s">
        <v>44</v>
      </c>
      <c r="D254" s="108"/>
      <c r="E254" s="108"/>
      <c r="F254" s="108"/>
      <c r="G254" s="109"/>
      <c r="H254" s="29" t="s">
        <v>3</v>
      </c>
      <c r="I254" s="30" t="s">
        <v>480</v>
      </c>
      <c r="J254" s="31" t="s">
        <v>480</v>
      </c>
      <c r="K254" s="31" t="s">
        <v>480</v>
      </c>
      <c r="L254" s="31" t="s">
        <v>480</v>
      </c>
      <c r="M254" s="31" t="s">
        <v>480</v>
      </c>
      <c r="N254" s="31" t="s">
        <v>480</v>
      </c>
      <c r="O254" s="31" t="s">
        <v>480</v>
      </c>
      <c r="P254" s="31" t="s">
        <v>480</v>
      </c>
      <c r="Q254" s="31" t="s">
        <v>480</v>
      </c>
      <c r="R254" s="31" t="s">
        <v>480</v>
      </c>
      <c r="S254" s="33" t="s">
        <v>480</v>
      </c>
      <c r="U254" s="87"/>
      <c r="V254" s="87"/>
    </row>
    <row r="255" spans="1:22" s="15" customFormat="1" ht="25.5" customHeight="1" x14ac:dyDescent="0.2">
      <c r="A255" s="110" t="s">
        <v>378</v>
      </c>
      <c r="B255" s="111"/>
      <c r="C255" s="134" t="s">
        <v>422</v>
      </c>
      <c r="D255" s="135"/>
      <c r="E255" s="135"/>
      <c r="F255" s="135"/>
      <c r="G255" s="136"/>
      <c r="H255" s="29" t="s">
        <v>3</v>
      </c>
      <c r="I255" s="30" t="s">
        <v>480</v>
      </c>
      <c r="J255" s="31" t="s">
        <v>480</v>
      </c>
      <c r="K255" s="31" t="s">
        <v>480</v>
      </c>
      <c r="L255" s="31" t="s">
        <v>480</v>
      </c>
      <c r="M255" s="31" t="s">
        <v>480</v>
      </c>
      <c r="N255" s="31" t="s">
        <v>480</v>
      </c>
      <c r="O255" s="31" t="s">
        <v>480</v>
      </c>
      <c r="P255" s="31" t="s">
        <v>480</v>
      </c>
      <c r="Q255" s="31" t="s">
        <v>480</v>
      </c>
      <c r="R255" s="31" t="s">
        <v>480</v>
      </c>
      <c r="S255" s="33" t="s">
        <v>480</v>
      </c>
      <c r="U255" s="87"/>
      <c r="V255" s="87"/>
    </row>
    <row r="256" spans="1:22" s="15" customFormat="1" ht="25.5" customHeight="1" x14ac:dyDescent="0.2">
      <c r="A256" s="110" t="s">
        <v>379</v>
      </c>
      <c r="B256" s="111"/>
      <c r="C256" s="107" t="s">
        <v>53</v>
      </c>
      <c r="D256" s="108"/>
      <c r="E256" s="108"/>
      <c r="F256" s="108"/>
      <c r="G256" s="109"/>
      <c r="H256" s="29" t="s">
        <v>3</v>
      </c>
      <c r="I256" s="30" t="s">
        <v>480</v>
      </c>
      <c r="J256" s="31" t="s">
        <v>480</v>
      </c>
      <c r="K256" s="31" t="s">
        <v>480</v>
      </c>
      <c r="L256" s="31" t="s">
        <v>480</v>
      </c>
      <c r="M256" s="31" t="s">
        <v>480</v>
      </c>
      <c r="N256" s="31" t="s">
        <v>480</v>
      </c>
      <c r="O256" s="31" t="s">
        <v>480</v>
      </c>
      <c r="P256" s="31" t="s">
        <v>480</v>
      </c>
      <c r="Q256" s="31" t="s">
        <v>480</v>
      </c>
      <c r="R256" s="31" t="s">
        <v>480</v>
      </c>
      <c r="S256" s="33" t="s">
        <v>480</v>
      </c>
      <c r="U256" s="87"/>
      <c r="V256" s="87"/>
    </row>
    <row r="257" spans="1:22" s="15" customFormat="1" ht="25.5" customHeight="1" x14ac:dyDescent="0.2">
      <c r="A257" s="110" t="s">
        <v>380</v>
      </c>
      <c r="B257" s="111"/>
      <c r="C257" s="134" t="s">
        <v>422</v>
      </c>
      <c r="D257" s="135"/>
      <c r="E257" s="135"/>
      <c r="F257" s="135"/>
      <c r="G257" s="136"/>
      <c r="H257" s="29" t="s">
        <v>3</v>
      </c>
      <c r="I257" s="30" t="s">
        <v>480</v>
      </c>
      <c r="J257" s="31" t="s">
        <v>480</v>
      </c>
      <c r="K257" s="31" t="s">
        <v>480</v>
      </c>
      <c r="L257" s="31" t="s">
        <v>480</v>
      </c>
      <c r="M257" s="31" t="s">
        <v>480</v>
      </c>
      <c r="N257" s="31" t="s">
        <v>480</v>
      </c>
      <c r="O257" s="31" t="s">
        <v>480</v>
      </c>
      <c r="P257" s="31" t="s">
        <v>480</v>
      </c>
      <c r="Q257" s="31" t="s">
        <v>480</v>
      </c>
      <c r="R257" s="31" t="s">
        <v>480</v>
      </c>
      <c r="S257" s="33" t="s">
        <v>480</v>
      </c>
      <c r="U257" s="87"/>
      <c r="V257" s="87"/>
    </row>
    <row r="258" spans="1:22" s="15" customFormat="1" ht="25.5" customHeight="1" x14ac:dyDescent="0.2">
      <c r="A258" s="110" t="s">
        <v>381</v>
      </c>
      <c r="B258" s="111"/>
      <c r="C258" s="107" t="s">
        <v>54</v>
      </c>
      <c r="D258" s="108"/>
      <c r="E258" s="108"/>
      <c r="F258" s="108"/>
      <c r="G258" s="109"/>
      <c r="H258" s="29" t="s">
        <v>3</v>
      </c>
      <c r="I258" s="30" t="s">
        <v>480</v>
      </c>
      <c r="J258" s="31" t="s">
        <v>480</v>
      </c>
      <c r="K258" s="31" t="s">
        <v>480</v>
      </c>
      <c r="L258" s="31" t="s">
        <v>480</v>
      </c>
      <c r="M258" s="31" t="s">
        <v>480</v>
      </c>
      <c r="N258" s="31" t="s">
        <v>480</v>
      </c>
      <c r="O258" s="31" t="s">
        <v>480</v>
      </c>
      <c r="P258" s="31" t="s">
        <v>480</v>
      </c>
      <c r="Q258" s="31" t="s">
        <v>480</v>
      </c>
      <c r="R258" s="31" t="s">
        <v>480</v>
      </c>
      <c r="S258" s="33" t="s">
        <v>480</v>
      </c>
      <c r="U258" s="87"/>
      <c r="V258" s="87"/>
    </row>
    <row r="259" spans="1:22" s="15" customFormat="1" ht="25.5" customHeight="1" x14ac:dyDescent="0.2">
      <c r="A259" s="110" t="s">
        <v>382</v>
      </c>
      <c r="B259" s="111"/>
      <c r="C259" s="134" t="s">
        <v>422</v>
      </c>
      <c r="D259" s="135"/>
      <c r="E259" s="135"/>
      <c r="F259" s="135"/>
      <c r="G259" s="136"/>
      <c r="H259" s="29" t="s">
        <v>3</v>
      </c>
      <c r="I259" s="30" t="s">
        <v>480</v>
      </c>
      <c r="J259" s="31" t="s">
        <v>480</v>
      </c>
      <c r="K259" s="31" t="s">
        <v>480</v>
      </c>
      <c r="L259" s="31" t="s">
        <v>480</v>
      </c>
      <c r="M259" s="31" t="s">
        <v>480</v>
      </c>
      <c r="N259" s="31" t="s">
        <v>480</v>
      </c>
      <c r="O259" s="31" t="s">
        <v>480</v>
      </c>
      <c r="P259" s="31" t="s">
        <v>480</v>
      </c>
      <c r="Q259" s="31" t="s">
        <v>480</v>
      </c>
      <c r="R259" s="31" t="s">
        <v>480</v>
      </c>
      <c r="S259" s="33" t="s">
        <v>480</v>
      </c>
      <c r="U259" s="87"/>
      <c r="V259" s="87"/>
    </row>
    <row r="260" spans="1:22" s="15" customFormat="1" ht="25.5" customHeight="1" x14ac:dyDescent="0.2">
      <c r="A260" s="110" t="s">
        <v>383</v>
      </c>
      <c r="B260" s="111"/>
      <c r="C260" s="115" t="s">
        <v>423</v>
      </c>
      <c r="D260" s="116"/>
      <c r="E260" s="116"/>
      <c r="F260" s="116"/>
      <c r="G260" s="117"/>
      <c r="H260" s="29" t="s">
        <v>3</v>
      </c>
      <c r="I260" s="30" t="s">
        <v>480</v>
      </c>
      <c r="J260" s="31" t="s">
        <v>480</v>
      </c>
      <c r="K260" s="31" t="s">
        <v>480</v>
      </c>
      <c r="L260" s="31" t="s">
        <v>480</v>
      </c>
      <c r="M260" s="31" t="s">
        <v>480</v>
      </c>
      <c r="N260" s="31" t="s">
        <v>480</v>
      </c>
      <c r="O260" s="31" t="s">
        <v>480</v>
      </c>
      <c r="P260" s="31" t="s">
        <v>480</v>
      </c>
      <c r="Q260" s="31" t="s">
        <v>480</v>
      </c>
      <c r="R260" s="31" t="s">
        <v>480</v>
      </c>
      <c r="S260" s="33" t="s">
        <v>480</v>
      </c>
      <c r="U260" s="87"/>
      <c r="V260" s="87"/>
    </row>
    <row r="261" spans="1:22" s="15" customFormat="1" ht="25.5" customHeight="1" x14ac:dyDescent="0.2">
      <c r="A261" s="110" t="s">
        <v>384</v>
      </c>
      <c r="B261" s="111"/>
      <c r="C261" s="107" t="s">
        <v>422</v>
      </c>
      <c r="D261" s="108"/>
      <c r="E261" s="108"/>
      <c r="F261" s="108"/>
      <c r="G261" s="109"/>
      <c r="H261" s="29" t="s">
        <v>3</v>
      </c>
      <c r="I261" s="30" t="s">
        <v>480</v>
      </c>
      <c r="J261" s="31" t="s">
        <v>480</v>
      </c>
      <c r="K261" s="31" t="s">
        <v>480</v>
      </c>
      <c r="L261" s="31" t="s">
        <v>480</v>
      </c>
      <c r="M261" s="31" t="s">
        <v>480</v>
      </c>
      <c r="N261" s="31" t="s">
        <v>480</v>
      </c>
      <c r="O261" s="31" t="s">
        <v>480</v>
      </c>
      <c r="P261" s="31" t="s">
        <v>480</v>
      </c>
      <c r="Q261" s="31" t="s">
        <v>480</v>
      </c>
      <c r="R261" s="31" t="s">
        <v>480</v>
      </c>
      <c r="S261" s="33" t="s">
        <v>480</v>
      </c>
      <c r="U261" s="87"/>
      <c r="V261" s="87"/>
    </row>
    <row r="262" spans="1:22" s="15" customFormat="1" ht="25.5" customHeight="1" x14ac:dyDescent="0.2">
      <c r="A262" s="110" t="s">
        <v>385</v>
      </c>
      <c r="B262" s="111"/>
      <c r="C262" s="115" t="s">
        <v>424</v>
      </c>
      <c r="D262" s="116"/>
      <c r="E262" s="116"/>
      <c r="F262" s="116"/>
      <c r="G262" s="117"/>
      <c r="H262" s="29" t="s">
        <v>3</v>
      </c>
      <c r="I262" s="30" t="s">
        <v>480</v>
      </c>
      <c r="J262" s="31" t="s">
        <v>480</v>
      </c>
      <c r="K262" s="31" t="s">
        <v>480</v>
      </c>
      <c r="L262" s="31" t="s">
        <v>480</v>
      </c>
      <c r="M262" s="31" t="s">
        <v>480</v>
      </c>
      <c r="N262" s="31" t="s">
        <v>480</v>
      </c>
      <c r="O262" s="31" t="s">
        <v>480</v>
      </c>
      <c r="P262" s="31" t="s">
        <v>480</v>
      </c>
      <c r="Q262" s="31" t="s">
        <v>480</v>
      </c>
      <c r="R262" s="31" t="s">
        <v>480</v>
      </c>
      <c r="S262" s="33" t="s">
        <v>480</v>
      </c>
      <c r="U262" s="87"/>
      <c r="V262" s="87"/>
    </row>
    <row r="263" spans="1:22" s="15" customFormat="1" ht="25.5" customHeight="1" x14ac:dyDescent="0.2">
      <c r="A263" s="110" t="s">
        <v>386</v>
      </c>
      <c r="B263" s="111"/>
      <c r="C263" s="107" t="s">
        <v>422</v>
      </c>
      <c r="D263" s="108"/>
      <c r="E263" s="108"/>
      <c r="F263" s="108"/>
      <c r="G263" s="109"/>
      <c r="H263" s="29" t="s">
        <v>3</v>
      </c>
      <c r="I263" s="30" t="s">
        <v>480</v>
      </c>
      <c r="J263" s="31" t="s">
        <v>480</v>
      </c>
      <c r="K263" s="31" t="s">
        <v>480</v>
      </c>
      <c r="L263" s="31" t="s">
        <v>480</v>
      </c>
      <c r="M263" s="31" t="s">
        <v>480</v>
      </c>
      <c r="N263" s="31" t="s">
        <v>480</v>
      </c>
      <c r="O263" s="31" t="s">
        <v>480</v>
      </c>
      <c r="P263" s="31" t="s">
        <v>480</v>
      </c>
      <c r="Q263" s="31" t="s">
        <v>480</v>
      </c>
      <c r="R263" s="31" t="s">
        <v>480</v>
      </c>
      <c r="S263" s="33" t="s">
        <v>480</v>
      </c>
      <c r="U263" s="87"/>
      <c r="V263" s="87"/>
    </row>
    <row r="264" spans="1:22" s="15" customFormat="1" ht="25.5" customHeight="1" x14ac:dyDescent="0.2">
      <c r="A264" s="110" t="s">
        <v>387</v>
      </c>
      <c r="B264" s="111"/>
      <c r="C264" s="115" t="s">
        <v>425</v>
      </c>
      <c r="D264" s="116"/>
      <c r="E264" s="116"/>
      <c r="F264" s="116"/>
      <c r="G264" s="117"/>
      <c r="H264" s="29" t="s">
        <v>3</v>
      </c>
      <c r="I264" s="30" t="s">
        <v>480</v>
      </c>
      <c r="J264" s="31" t="s">
        <v>480</v>
      </c>
      <c r="K264" s="31" t="s">
        <v>480</v>
      </c>
      <c r="L264" s="31" t="s">
        <v>480</v>
      </c>
      <c r="M264" s="31" t="s">
        <v>480</v>
      </c>
      <c r="N264" s="31" t="s">
        <v>480</v>
      </c>
      <c r="O264" s="31" t="s">
        <v>480</v>
      </c>
      <c r="P264" s="31" t="s">
        <v>480</v>
      </c>
      <c r="Q264" s="31" t="s">
        <v>480</v>
      </c>
      <c r="R264" s="31" t="s">
        <v>480</v>
      </c>
      <c r="S264" s="33" t="s">
        <v>480</v>
      </c>
      <c r="U264" s="87"/>
      <c r="V264" s="87"/>
    </row>
    <row r="265" spans="1:22" s="15" customFormat="1" ht="25.5" customHeight="1" x14ac:dyDescent="0.2">
      <c r="A265" s="110" t="s">
        <v>388</v>
      </c>
      <c r="B265" s="111"/>
      <c r="C265" s="107" t="s">
        <v>422</v>
      </c>
      <c r="D265" s="108"/>
      <c r="E265" s="108"/>
      <c r="F265" s="108"/>
      <c r="G265" s="109"/>
      <c r="H265" s="29" t="s">
        <v>3</v>
      </c>
      <c r="I265" s="30" t="s">
        <v>480</v>
      </c>
      <c r="J265" s="31" t="s">
        <v>480</v>
      </c>
      <c r="K265" s="31" t="s">
        <v>480</v>
      </c>
      <c r="L265" s="31" t="s">
        <v>480</v>
      </c>
      <c r="M265" s="31" t="s">
        <v>480</v>
      </c>
      <c r="N265" s="31" t="s">
        <v>480</v>
      </c>
      <c r="O265" s="31" t="s">
        <v>480</v>
      </c>
      <c r="P265" s="31" t="s">
        <v>480</v>
      </c>
      <c r="Q265" s="31" t="s">
        <v>480</v>
      </c>
      <c r="R265" s="31" t="s">
        <v>480</v>
      </c>
      <c r="S265" s="33" t="s">
        <v>480</v>
      </c>
      <c r="U265" s="87"/>
      <c r="V265" s="87"/>
    </row>
    <row r="266" spans="1:22" s="15" customFormat="1" ht="25.5" customHeight="1" x14ac:dyDescent="0.2">
      <c r="A266" s="110" t="s">
        <v>389</v>
      </c>
      <c r="B266" s="111"/>
      <c r="C266" s="115" t="s">
        <v>426</v>
      </c>
      <c r="D266" s="116"/>
      <c r="E266" s="116"/>
      <c r="F266" s="116"/>
      <c r="G266" s="117"/>
      <c r="H266" s="29" t="s">
        <v>3</v>
      </c>
      <c r="I266" s="30" t="s">
        <v>480</v>
      </c>
      <c r="J266" s="31" t="s">
        <v>480</v>
      </c>
      <c r="K266" s="31" t="s">
        <v>480</v>
      </c>
      <c r="L266" s="31" t="s">
        <v>480</v>
      </c>
      <c r="M266" s="31" t="s">
        <v>480</v>
      </c>
      <c r="N266" s="31" t="s">
        <v>480</v>
      </c>
      <c r="O266" s="31" t="s">
        <v>480</v>
      </c>
      <c r="P266" s="31" t="s">
        <v>480</v>
      </c>
      <c r="Q266" s="31" t="s">
        <v>480</v>
      </c>
      <c r="R266" s="31" t="s">
        <v>480</v>
      </c>
      <c r="S266" s="33" t="s">
        <v>480</v>
      </c>
      <c r="U266" s="87"/>
      <c r="V266" s="87"/>
    </row>
    <row r="267" spans="1:22" s="15" customFormat="1" ht="25.5" customHeight="1" x14ac:dyDescent="0.2">
      <c r="A267" s="110" t="s">
        <v>390</v>
      </c>
      <c r="B267" s="111"/>
      <c r="C267" s="107" t="s">
        <v>422</v>
      </c>
      <c r="D267" s="108"/>
      <c r="E267" s="108"/>
      <c r="F267" s="108"/>
      <c r="G267" s="109"/>
      <c r="H267" s="29" t="s">
        <v>3</v>
      </c>
      <c r="I267" s="30" t="s">
        <v>480</v>
      </c>
      <c r="J267" s="31" t="s">
        <v>480</v>
      </c>
      <c r="K267" s="31" t="s">
        <v>480</v>
      </c>
      <c r="L267" s="31" t="s">
        <v>480</v>
      </c>
      <c r="M267" s="31" t="s">
        <v>480</v>
      </c>
      <c r="N267" s="31" t="s">
        <v>480</v>
      </c>
      <c r="O267" s="31" t="s">
        <v>480</v>
      </c>
      <c r="P267" s="31" t="s">
        <v>480</v>
      </c>
      <c r="Q267" s="31" t="s">
        <v>480</v>
      </c>
      <c r="R267" s="31" t="s">
        <v>480</v>
      </c>
      <c r="S267" s="33" t="s">
        <v>480</v>
      </c>
      <c r="U267" s="87"/>
      <c r="V267" s="87"/>
    </row>
    <row r="268" spans="1:22" s="15" customFormat="1" ht="25.5" customHeight="1" x14ac:dyDescent="0.2">
      <c r="A268" s="110" t="s">
        <v>391</v>
      </c>
      <c r="B268" s="111"/>
      <c r="C268" s="115" t="s">
        <v>427</v>
      </c>
      <c r="D268" s="116"/>
      <c r="E268" s="116"/>
      <c r="F268" s="116"/>
      <c r="G268" s="117"/>
      <c r="H268" s="29" t="s">
        <v>3</v>
      </c>
      <c r="I268" s="30">
        <v>1762.0955500099997</v>
      </c>
      <c r="J268" s="31">
        <v>2451.1861557299994</v>
      </c>
      <c r="K268" s="31">
        <v>2757.8562914466402</v>
      </c>
      <c r="L268" s="31"/>
      <c r="M268" s="31">
        <f>K268</f>
        <v>2757.8562914466402</v>
      </c>
      <c r="N268" s="31"/>
      <c r="O268" s="31">
        <f>M268</f>
        <v>2757.8562914466402</v>
      </c>
      <c r="P268" s="31"/>
      <c r="Q268" s="31">
        <f>O268</f>
        <v>2757.8562914466402</v>
      </c>
      <c r="R268" s="31" t="s">
        <v>480</v>
      </c>
      <c r="S268" s="33">
        <f>Q268</f>
        <v>2757.8562914466402</v>
      </c>
      <c r="U268" s="87"/>
      <c r="V268" s="87"/>
    </row>
    <row r="269" spans="1:22" s="15" customFormat="1" ht="25.5" customHeight="1" x14ac:dyDescent="0.2">
      <c r="A269" s="110" t="s">
        <v>392</v>
      </c>
      <c r="B269" s="111"/>
      <c r="C269" s="107" t="s">
        <v>422</v>
      </c>
      <c r="D269" s="108"/>
      <c r="E269" s="108"/>
      <c r="F269" s="108"/>
      <c r="G269" s="109"/>
      <c r="H269" s="29" t="s">
        <v>3</v>
      </c>
      <c r="I269" s="30">
        <v>1481.86602915</v>
      </c>
      <c r="J269" s="31">
        <v>2132.5819755599996</v>
      </c>
      <c r="K269" s="31">
        <f>J269+K29*1.2-K173</f>
        <v>2397.1922352687097</v>
      </c>
      <c r="L269" s="31"/>
      <c r="M269" s="31">
        <f>K269</f>
        <v>2397.1922352687097</v>
      </c>
      <c r="N269" s="31"/>
      <c r="O269" s="31">
        <f>M269</f>
        <v>2397.1922352687097</v>
      </c>
      <c r="P269" s="31"/>
      <c r="Q269" s="31">
        <f>O269</f>
        <v>2397.1922352687097</v>
      </c>
      <c r="R269" s="31" t="s">
        <v>480</v>
      </c>
      <c r="S269" s="33">
        <f>Q269</f>
        <v>2397.1922352687097</v>
      </c>
      <c r="U269" s="87"/>
      <c r="V269" s="87"/>
    </row>
    <row r="270" spans="1:22" s="15" customFormat="1" ht="25.5" customHeight="1" x14ac:dyDescent="0.2">
      <c r="A270" s="110" t="s">
        <v>391</v>
      </c>
      <c r="B270" s="111"/>
      <c r="C270" s="115" t="s">
        <v>428</v>
      </c>
      <c r="D270" s="116"/>
      <c r="E270" s="116"/>
      <c r="F270" s="116"/>
      <c r="G270" s="117"/>
      <c r="H270" s="29" t="s">
        <v>3</v>
      </c>
      <c r="I270" s="30" t="s">
        <v>480</v>
      </c>
      <c r="J270" s="31" t="s">
        <v>480</v>
      </c>
      <c r="K270" s="31" t="s">
        <v>480</v>
      </c>
      <c r="L270" s="31" t="s">
        <v>480</v>
      </c>
      <c r="M270" s="31" t="s">
        <v>480</v>
      </c>
      <c r="N270" s="31" t="s">
        <v>480</v>
      </c>
      <c r="O270" s="31" t="s">
        <v>480</v>
      </c>
      <c r="P270" s="31" t="s">
        <v>480</v>
      </c>
      <c r="Q270" s="31" t="s">
        <v>480</v>
      </c>
      <c r="R270" s="31" t="s">
        <v>480</v>
      </c>
      <c r="S270" s="33" t="s">
        <v>480</v>
      </c>
      <c r="U270" s="87"/>
      <c r="V270" s="87"/>
    </row>
    <row r="271" spans="1:22" s="15" customFormat="1" ht="25.5" customHeight="1" x14ac:dyDescent="0.2">
      <c r="A271" s="110" t="s">
        <v>393</v>
      </c>
      <c r="B271" s="111"/>
      <c r="C271" s="107" t="s">
        <v>422</v>
      </c>
      <c r="D271" s="108"/>
      <c r="E271" s="108"/>
      <c r="F271" s="108"/>
      <c r="G271" s="109"/>
      <c r="H271" s="29" t="s">
        <v>3</v>
      </c>
      <c r="I271" s="30" t="s">
        <v>480</v>
      </c>
      <c r="J271" s="31" t="s">
        <v>480</v>
      </c>
      <c r="K271" s="31" t="s">
        <v>480</v>
      </c>
      <c r="L271" s="31" t="s">
        <v>480</v>
      </c>
      <c r="M271" s="31" t="s">
        <v>480</v>
      </c>
      <c r="N271" s="31" t="s">
        <v>480</v>
      </c>
      <c r="O271" s="31" t="s">
        <v>480</v>
      </c>
      <c r="P271" s="31" t="s">
        <v>480</v>
      </c>
      <c r="Q271" s="31" t="s">
        <v>480</v>
      </c>
      <c r="R271" s="31" t="s">
        <v>480</v>
      </c>
      <c r="S271" s="33" t="s">
        <v>480</v>
      </c>
      <c r="U271" s="87"/>
      <c r="V271" s="87"/>
    </row>
    <row r="272" spans="1:22" s="15" customFormat="1" ht="25.5" customHeight="1" x14ac:dyDescent="0.2">
      <c r="A272" s="110" t="s">
        <v>394</v>
      </c>
      <c r="B272" s="111"/>
      <c r="C272" s="115" t="s">
        <v>675</v>
      </c>
      <c r="D272" s="116"/>
      <c r="E272" s="116"/>
      <c r="F272" s="116"/>
      <c r="G272" s="117"/>
      <c r="H272" s="29" t="s">
        <v>3</v>
      </c>
      <c r="I272" s="30" t="s">
        <v>480</v>
      </c>
      <c r="J272" s="31" t="s">
        <v>480</v>
      </c>
      <c r="K272" s="31" t="s">
        <v>480</v>
      </c>
      <c r="L272" s="31" t="s">
        <v>480</v>
      </c>
      <c r="M272" s="31" t="s">
        <v>480</v>
      </c>
      <c r="N272" s="31" t="s">
        <v>480</v>
      </c>
      <c r="O272" s="31" t="s">
        <v>480</v>
      </c>
      <c r="P272" s="31" t="s">
        <v>480</v>
      </c>
      <c r="Q272" s="31" t="s">
        <v>480</v>
      </c>
      <c r="R272" s="31" t="s">
        <v>480</v>
      </c>
      <c r="S272" s="33" t="s">
        <v>480</v>
      </c>
      <c r="U272" s="87"/>
      <c r="V272" s="87"/>
    </row>
    <row r="273" spans="1:22" s="15" customFormat="1" ht="25.5" customHeight="1" x14ac:dyDescent="0.2">
      <c r="A273" s="110" t="s">
        <v>395</v>
      </c>
      <c r="B273" s="111"/>
      <c r="C273" s="107" t="s">
        <v>422</v>
      </c>
      <c r="D273" s="108"/>
      <c r="E273" s="108"/>
      <c r="F273" s="108"/>
      <c r="G273" s="109"/>
      <c r="H273" s="29" t="s">
        <v>3</v>
      </c>
      <c r="I273" s="30" t="s">
        <v>480</v>
      </c>
      <c r="J273" s="31" t="s">
        <v>480</v>
      </c>
      <c r="K273" s="31" t="s">
        <v>480</v>
      </c>
      <c r="L273" s="31" t="s">
        <v>480</v>
      </c>
      <c r="M273" s="31" t="s">
        <v>480</v>
      </c>
      <c r="N273" s="31" t="s">
        <v>480</v>
      </c>
      <c r="O273" s="31" t="s">
        <v>480</v>
      </c>
      <c r="P273" s="31" t="s">
        <v>480</v>
      </c>
      <c r="Q273" s="31" t="s">
        <v>480</v>
      </c>
      <c r="R273" s="31" t="s">
        <v>480</v>
      </c>
      <c r="S273" s="33" t="s">
        <v>480</v>
      </c>
      <c r="U273" s="87"/>
      <c r="V273" s="87"/>
    </row>
    <row r="274" spans="1:22" s="15" customFormat="1" ht="25.5" customHeight="1" x14ac:dyDescent="0.2">
      <c r="A274" s="110" t="s">
        <v>396</v>
      </c>
      <c r="B274" s="111"/>
      <c r="C274" s="107" t="s">
        <v>83</v>
      </c>
      <c r="D274" s="108"/>
      <c r="E274" s="108"/>
      <c r="F274" s="108"/>
      <c r="G274" s="109"/>
      <c r="H274" s="29" t="s">
        <v>3</v>
      </c>
      <c r="I274" s="30" t="s">
        <v>480</v>
      </c>
      <c r="J274" s="31" t="s">
        <v>480</v>
      </c>
      <c r="K274" s="31" t="s">
        <v>480</v>
      </c>
      <c r="L274" s="31" t="s">
        <v>480</v>
      </c>
      <c r="M274" s="31" t="s">
        <v>480</v>
      </c>
      <c r="N274" s="31" t="s">
        <v>480</v>
      </c>
      <c r="O274" s="31" t="s">
        <v>480</v>
      </c>
      <c r="P274" s="31" t="s">
        <v>480</v>
      </c>
      <c r="Q274" s="31" t="s">
        <v>480</v>
      </c>
      <c r="R274" s="31" t="s">
        <v>480</v>
      </c>
      <c r="S274" s="33" t="s">
        <v>480</v>
      </c>
      <c r="U274" s="87"/>
      <c r="V274" s="87"/>
    </row>
    <row r="275" spans="1:22" s="15" customFormat="1" ht="25.5" customHeight="1" x14ac:dyDescent="0.2">
      <c r="A275" s="110" t="s">
        <v>397</v>
      </c>
      <c r="B275" s="111"/>
      <c r="C275" s="134" t="s">
        <v>422</v>
      </c>
      <c r="D275" s="135"/>
      <c r="E275" s="135"/>
      <c r="F275" s="135"/>
      <c r="G275" s="136"/>
      <c r="H275" s="29" t="s">
        <v>3</v>
      </c>
      <c r="I275" s="30" t="s">
        <v>480</v>
      </c>
      <c r="J275" s="31" t="s">
        <v>480</v>
      </c>
      <c r="K275" s="31" t="s">
        <v>480</v>
      </c>
      <c r="L275" s="31" t="s">
        <v>480</v>
      </c>
      <c r="M275" s="31" t="s">
        <v>480</v>
      </c>
      <c r="N275" s="31" t="s">
        <v>480</v>
      </c>
      <c r="O275" s="31" t="s">
        <v>480</v>
      </c>
      <c r="P275" s="31" t="s">
        <v>480</v>
      </c>
      <c r="Q275" s="31" t="s">
        <v>480</v>
      </c>
      <c r="R275" s="31" t="s">
        <v>480</v>
      </c>
      <c r="S275" s="33" t="s">
        <v>480</v>
      </c>
      <c r="U275" s="87"/>
      <c r="V275" s="87"/>
    </row>
    <row r="276" spans="1:22" s="15" customFormat="1" ht="25.5" customHeight="1" x14ac:dyDescent="0.2">
      <c r="A276" s="110" t="s">
        <v>398</v>
      </c>
      <c r="B276" s="111"/>
      <c r="C276" s="107" t="s">
        <v>84</v>
      </c>
      <c r="D276" s="108"/>
      <c r="E276" s="108"/>
      <c r="F276" s="108"/>
      <c r="G276" s="109"/>
      <c r="H276" s="29" t="s">
        <v>3</v>
      </c>
      <c r="I276" s="30" t="s">
        <v>480</v>
      </c>
      <c r="J276" s="31" t="s">
        <v>480</v>
      </c>
      <c r="K276" s="31" t="s">
        <v>480</v>
      </c>
      <c r="L276" s="31" t="s">
        <v>480</v>
      </c>
      <c r="M276" s="31" t="s">
        <v>480</v>
      </c>
      <c r="N276" s="31" t="s">
        <v>480</v>
      </c>
      <c r="O276" s="31" t="s">
        <v>480</v>
      </c>
      <c r="P276" s="31" t="s">
        <v>480</v>
      </c>
      <c r="Q276" s="31" t="s">
        <v>480</v>
      </c>
      <c r="R276" s="31" t="s">
        <v>480</v>
      </c>
      <c r="S276" s="33" t="s">
        <v>480</v>
      </c>
      <c r="U276" s="87"/>
      <c r="V276" s="87"/>
    </row>
    <row r="277" spans="1:22" s="15" customFormat="1" ht="25.5" customHeight="1" x14ac:dyDescent="0.2">
      <c r="A277" s="110" t="s">
        <v>399</v>
      </c>
      <c r="B277" s="111"/>
      <c r="C277" s="134" t="s">
        <v>422</v>
      </c>
      <c r="D277" s="135"/>
      <c r="E277" s="135"/>
      <c r="F277" s="135"/>
      <c r="G277" s="136"/>
      <c r="H277" s="29" t="s">
        <v>3</v>
      </c>
      <c r="I277" s="30" t="s">
        <v>480</v>
      </c>
      <c r="J277" s="31" t="s">
        <v>480</v>
      </c>
      <c r="K277" s="31" t="s">
        <v>480</v>
      </c>
      <c r="L277" s="31" t="s">
        <v>480</v>
      </c>
      <c r="M277" s="31" t="s">
        <v>480</v>
      </c>
      <c r="N277" s="31" t="s">
        <v>480</v>
      </c>
      <c r="O277" s="31" t="s">
        <v>480</v>
      </c>
      <c r="P277" s="31" t="s">
        <v>480</v>
      </c>
      <c r="Q277" s="31" t="s">
        <v>480</v>
      </c>
      <c r="R277" s="31" t="s">
        <v>480</v>
      </c>
      <c r="S277" s="33" t="s">
        <v>480</v>
      </c>
    </row>
    <row r="278" spans="1:22" s="15" customFormat="1" ht="25.5" customHeight="1" x14ac:dyDescent="0.2">
      <c r="A278" s="110" t="s">
        <v>400</v>
      </c>
      <c r="B278" s="111"/>
      <c r="C278" s="115" t="s">
        <v>430</v>
      </c>
      <c r="D278" s="116"/>
      <c r="E278" s="116"/>
      <c r="F278" s="116"/>
      <c r="G278" s="117"/>
      <c r="H278" s="29" t="s">
        <v>3</v>
      </c>
      <c r="I278" s="30"/>
      <c r="J278" s="31"/>
      <c r="K278" s="31"/>
      <c r="L278" s="31" t="s">
        <v>480</v>
      </c>
      <c r="M278" s="31"/>
      <c r="N278" s="31" t="s">
        <v>480</v>
      </c>
      <c r="O278" s="31"/>
      <c r="P278" s="31" t="s">
        <v>480</v>
      </c>
      <c r="Q278" s="31"/>
      <c r="R278" s="31" t="s">
        <v>480</v>
      </c>
      <c r="S278" s="33">
        <f>Q278</f>
        <v>0</v>
      </c>
    </row>
    <row r="279" spans="1:22" s="15" customFormat="1" ht="25.5" customHeight="1" x14ac:dyDescent="0.2">
      <c r="A279" s="110" t="s">
        <v>401</v>
      </c>
      <c r="B279" s="111"/>
      <c r="C279" s="107" t="s">
        <v>422</v>
      </c>
      <c r="D279" s="108"/>
      <c r="E279" s="108"/>
      <c r="F279" s="108"/>
      <c r="G279" s="109"/>
      <c r="H279" s="29" t="s">
        <v>3</v>
      </c>
      <c r="I279" s="30"/>
      <c r="J279" s="31"/>
      <c r="K279" s="31"/>
      <c r="L279" s="31" t="s">
        <v>480</v>
      </c>
      <c r="M279" s="31"/>
      <c r="N279" s="31" t="s">
        <v>480</v>
      </c>
      <c r="O279" s="31"/>
      <c r="P279" s="31" t="s">
        <v>480</v>
      </c>
      <c r="Q279" s="31"/>
      <c r="R279" s="31" t="s">
        <v>480</v>
      </c>
      <c r="S279" s="33">
        <f>Q279</f>
        <v>0</v>
      </c>
    </row>
    <row r="280" spans="1:22" s="15" customFormat="1" ht="25.5" customHeight="1" x14ac:dyDescent="0.2">
      <c r="A280" s="110" t="s">
        <v>402</v>
      </c>
      <c r="B280" s="111"/>
      <c r="C280" s="112" t="s">
        <v>431</v>
      </c>
      <c r="D280" s="113"/>
      <c r="E280" s="113"/>
      <c r="F280" s="113"/>
      <c r="G280" s="114"/>
      <c r="H280" s="29" t="s">
        <v>3</v>
      </c>
      <c r="I280" s="30">
        <v>2642.2312091499998</v>
      </c>
      <c r="J280" s="31">
        <v>3567.3269435699999</v>
      </c>
      <c r="K280" s="31">
        <v>2720.49838242444</v>
      </c>
      <c r="L280" s="31" t="s">
        <v>480</v>
      </c>
      <c r="M280" s="31">
        <v>1958.08602550816</v>
      </c>
      <c r="N280" s="31" t="s">
        <v>480</v>
      </c>
      <c r="O280" s="31">
        <v>1252.8230485647903</v>
      </c>
      <c r="P280" s="31" t="s">
        <v>480</v>
      </c>
      <c r="Q280" s="31">
        <v>519.38855651521203</v>
      </c>
      <c r="R280" s="31" t="s">
        <v>480</v>
      </c>
      <c r="S280" s="33">
        <f>Q280</f>
        <v>519.38855651521203</v>
      </c>
    </row>
    <row r="281" spans="1:22" s="15" customFormat="1" ht="25.5" customHeight="1" x14ac:dyDescent="0.2">
      <c r="A281" s="110" t="s">
        <v>403</v>
      </c>
      <c r="B281" s="111"/>
      <c r="C281" s="115" t="s">
        <v>432</v>
      </c>
      <c r="D281" s="116"/>
      <c r="E281" s="116"/>
      <c r="F281" s="116"/>
      <c r="G281" s="117"/>
      <c r="H281" s="29" t="s">
        <v>3</v>
      </c>
      <c r="I281" s="30" t="s">
        <v>480</v>
      </c>
      <c r="J281" s="31" t="s">
        <v>480</v>
      </c>
      <c r="K281" s="31" t="s">
        <v>480</v>
      </c>
      <c r="L281" s="31" t="s">
        <v>480</v>
      </c>
      <c r="M281" s="31" t="s">
        <v>480</v>
      </c>
      <c r="N281" s="31" t="s">
        <v>480</v>
      </c>
      <c r="O281" s="31" t="s">
        <v>480</v>
      </c>
      <c r="P281" s="31" t="s">
        <v>480</v>
      </c>
      <c r="Q281" s="31" t="s">
        <v>480</v>
      </c>
      <c r="R281" s="31" t="s">
        <v>480</v>
      </c>
      <c r="S281" s="33" t="s">
        <v>480</v>
      </c>
    </row>
    <row r="282" spans="1:22" s="15" customFormat="1" ht="25.5" customHeight="1" x14ac:dyDescent="0.2">
      <c r="A282" s="110" t="s">
        <v>404</v>
      </c>
      <c r="B282" s="111"/>
      <c r="C282" s="107" t="s">
        <v>422</v>
      </c>
      <c r="D282" s="108"/>
      <c r="E282" s="108"/>
      <c r="F282" s="108"/>
      <c r="G282" s="109"/>
      <c r="H282" s="29" t="s">
        <v>3</v>
      </c>
      <c r="I282" s="30" t="s">
        <v>480</v>
      </c>
      <c r="J282" s="31" t="s">
        <v>480</v>
      </c>
      <c r="K282" s="31" t="s">
        <v>480</v>
      </c>
      <c r="L282" s="31" t="s">
        <v>480</v>
      </c>
      <c r="M282" s="31" t="s">
        <v>480</v>
      </c>
      <c r="N282" s="31" t="s">
        <v>480</v>
      </c>
      <c r="O282" s="31" t="s">
        <v>480</v>
      </c>
      <c r="P282" s="31" t="s">
        <v>480</v>
      </c>
      <c r="Q282" s="31" t="s">
        <v>480</v>
      </c>
      <c r="R282" s="31" t="s">
        <v>480</v>
      </c>
      <c r="S282" s="33" t="s">
        <v>480</v>
      </c>
    </row>
    <row r="283" spans="1:22" s="15" customFormat="1" ht="25.5" customHeight="1" x14ac:dyDescent="0.2">
      <c r="A283" s="110" t="s">
        <v>405</v>
      </c>
      <c r="B283" s="111"/>
      <c r="C283" s="115" t="s">
        <v>433</v>
      </c>
      <c r="D283" s="116"/>
      <c r="E283" s="116"/>
      <c r="F283" s="116"/>
      <c r="G283" s="117"/>
      <c r="H283" s="29" t="s">
        <v>3</v>
      </c>
      <c r="I283" s="30">
        <v>737.49495735000016</v>
      </c>
      <c r="J283" s="31">
        <v>855.21052945999998</v>
      </c>
      <c r="K283" s="31">
        <v>486.07949711750001</v>
      </c>
      <c r="L283" s="31" t="s">
        <v>480</v>
      </c>
      <c r="M283" s="31">
        <v>323.83459988651992</v>
      </c>
      <c r="N283" s="31" t="s">
        <v>480</v>
      </c>
      <c r="O283" s="31">
        <v>161.58975107401994</v>
      </c>
      <c r="P283" s="31" t="s">
        <v>480</v>
      </c>
      <c r="Q283" s="31">
        <v>0</v>
      </c>
      <c r="R283" s="31" t="s">
        <v>480</v>
      </c>
      <c r="S283" s="33">
        <f t="shared" ref="S283:S301" si="141">Q283</f>
        <v>0</v>
      </c>
    </row>
    <row r="284" spans="1:22" s="15" customFormat="1" ht="25.5" customHeight="1" x14ac:dyDescent="0.2">
      <c r="A284" s="110" t="s">
        <v>406</v>
      </c>
      <c r="B284" s="111"/>
      <c r="C284" s="107" t="s">
        <v>272</v>
      </c>
      <c r="D284" s="108"/>
      <c r="E284" s="108"/>
      <c r="F284" s="108"/>
      <c r="G284" s="109"/>
      <c r="H284" s="29" t="s">
        <v>3</v>
      </c>
      <c r="I284" s="30">
        <v>730.63959999999997</v>
      </c>
      <c r="J284" s="31">
        <f>J283-22.86028939</f>
        <v>832.35024006999993</v>
      </c>
      <c r="K284" s="31">
        <f>K283</f>
        <v>486.07949711750001</v>
      </c>
      <c r="L284" s="31" t="s">
        <v>480</v>
      </c>
      <c r="M284" s="31">
        <f>M283</f>
        <v>323.83459988651992</v>
      </c>
      <c r="N284" s="31" t="s">
        <v>480</v>
      </c>
      <c r="O284" s="31">
        <f>O283</f>
        <v>161.58975107401994</v>
      </c>
      <c r="P284" s="31" t="s">
        <v>480</v>
      </c>
      <c r="Q284" s="31">
        <v>0</v>
      </c>
      <c r="R284" s="31" t="s">
        <v>480</v>
      </c>
      <c r="S284" s="33">
        <f t="shared" si="141"/>
        <v>0</v>
      </c>
    </row>
    <row r="285" spans="1:22" s="15" customFormat="1" ht="25.5" customHeight="1" x14ac:dyDescent="0.2">
      <c r="A285" s="110" t="s">
        <v>407</v>
      </c>
      <c r="B285" s="111"/>
      <c r="C285" s="134" t="s">
        <v>422</v>
      </c>
      <c r="D285" s="135"/>
      <c r="E285" s="135"/>
      <c r="F285" s="135"/>
      <c r="G285" s="136"/>
      <c r="H285" s="29" t="s">
        <v>3</v>
      </c>
      <c r="I285" s="30">
        <f>516.20550125-I287</f>
        <v>509.94650124999998</v>
      </c>
      <c r="J285" s="31">
        <f>618.89692416-J287</f>
        <v>596.03663476999998</v>
      </c>
      <c r="K285" s="31">
        <f>K284</f>
        <v>486.07949711750001</v>
      </c>
      <c r="L285" s="31" t="s">
        <v>480</v>
      </c>
      <c r="M285" s="31">
        <f>M284</f>
        <v>323.83459988651992</v>
      </c>
      <c r="N285" s="31" t="s">
        <v>480</v>
      </c>
      <c r="O285" s="31">
        <f>O284</f>
        <v>161.58975107401994</v>
      </c>
      <c r="P285" s="31" t="s">
        <v>480</v>
      </c>
      <c r="Q285" s="31">
        <f>Q284</f>
        <v>0</v>
      </c>
      <c r="R285" s="31" t="s">
        <v>480</v>
      </c>
      <c r="S285" s="33">
        <f t="shared" si="141"/>
        <v>0</v>
      </c>
    </row>
    <row r="286" spans="1:22" s="15" customFormat="1" ht="25.5" customHeight="1" x14ac:dyDescent="0.2">
      <c r="A286" s="110" t="s">
        <v>408</v>
      </c>
      <c r="B286" s="111"/>
      <c r="C286" s="107" t="s">
        <v>434</v>
      </c>
      <c r="D286" s="108"/>
      <c r="E286" s="108"/>
      <c r="F286" s="108"/>
      <c r="G286" s="109"/>
      <c r="H286" s="29" t="s">
        <v>3</v>
      </c>
      <c r="I286" s="30">
        <f>I283-I284</f>
        <v>6.8553573500001903</v>
      </c>
      <c r="J286" s="31">
        <v>22.860289389999998</v>
      </c>
      <c r="K286" s="31">
        <v>0</v>
      </c>
      <c r="L286" s="31" t="s">
        <v>480</v>
      </c>
      <c r="M286" s="31">
        <v>0</v>
      </c>
      <c r="N286" s="31" t="s">
        <v>480</v>
      </c>
      <c r="O286" s="31">
        <v>0</v>
      </c>
      <c r="P286" s="31" t="s">
        <v>480</v>
      </c>
      <c r="Q286" s="31">
        <v>0</v>
      </c>
      <c r="R286" s="31" t="s">
        <v>480</v>
      </c>
      <c r="S286" s="33">
        <f t="shared" si="141"/>
        <v>0</v>
      </c>
    </row>
    <row r="287" spans="1:22" s="15" customFormat="1" ht="25.5" customHeight="1" x14ac:dyDescent="0.2">
      <c r="A287" s="110" t="s">
        <v>409</v>
      </c>
      <c r="B287" s="111"/>
      <c r="C287" s="134" t="s">
        <v>422</v>
      </c>
      <c r="D287" s="135"/>
      <c r="E287" s="135"/>
      <c r="F287" s="135"/>
      <c r="G287" s="136"/>
      <c r="H287" s="29" t="s">
        <v>3</v>
      </c>
      <c r="I287" s="30">
        <v>6.2590000000000003</v>
      </c>
      <c r="J287" s="31">
        <v>22.860289389999998</v>
      </c>
      <c r="K287" s="31">
        <v>0</v>
      </c>
      <c r="L287" s="31" t="s">
        <v>480</v>
      </c>
      <c r="M287" s="31">
        <v>0</v>
      </c>
      <c r="N287" s="31" t="s">
        <v>480</v>
      </c>
      <c r="O287" s="31">
        <v>0</v>
      </c>
      <c r="P287" s="31" t="s">
        <v>480</v>
      </c>
      <c r="Q287" s="31">
        <v>0</v>
      </c>
      <c r="R287" s="31" t="s">
        <v>480</v>
      </c>
      <c r="S287" s="33">
        <f t="shared" si="141"/>
        <v>0</v>
      </c>
    </row>
    <row r="288" spans="1:22" s="15" customFormat="1" ht="25.5" customHeight="1" x14ac:dyDescent="0.2">
      <c r="A288" s="110" t="s">
        <v>410</v>
      </c>
      <c r="B288" s="111"/>
      <c r="C288" s="115" t="s">
        <v>435</v>
      </c>
      <c r="D288" s="116"/>
      <c r="E288" s="116"/>
      <c r="F288" s="116"/>
      <c r="G288" s="117"/>
      <c r="H288" s="29" t="s">
        <v>3</v>
      </c>
      <c r="I288" s="30" t="s">
        <v>480</v>
      </c>
      <c r="J288" s="31" t="s">
        <v>480</v>
      </c>
      <c r="K288" s="31" t="s">
        <v>480</v>
      </c>
      <c r="L288" s="31" t="s">
        <v>480</v>
      </c>
      <c r="M288" s="31" t="s">
        <v>480</v>
      </c>
      <c r="N288" s="31" t="s">
        <v>480</v>
      </c>
      <c r="O288" s="31" t="s">
        <v>480</v>
      </c>
      <c r="P288" s="31" t="s">
        <v>480</v>
      </c>
      <c r="Q288" s="31" t="s">
        <v>480</v>
      </c>
      <c r="R288" s="31" t="s">
        <v>480</v>
      </c>
      <c r="S288" s="33" t="s">
        <v>480</v>
      </c>
    </row>
    <row r="289" spans="1:19" s="15" customFormat="1" ht="25.5" customHeight="1" x14ac:dyDescent="0.2">
      <c r="A289" s="110" t="s">
        <v>436</v>
      </c>
      <c r="B289" s="111"/>
      <c r="C289" s="107" t="s">
        <v>422</v>
      </c>
      <c r="D289" s="108"/>
      <c r="E289" s="108"/>
      <c r="F289" s="108"/>
      <c r="G289" s="109"/>
      <c r="H289" s="29" t="s">
        <v>3</v>
      </c>
      <c r="I289" s="30" t="s">
        <v>480</v>
      </c>
      <c r="J289" s="31" t="s">
        <v>480</v>
      </c>
      <c r="K289" s="31" t="s">
        <v>480</v>
      </c>
      <c r="L289" s="31" t="s">
        <v>480</v>
      </c>
      <c r="M289" s="31" t="s">
        <v>480</v>
      </c>
      <c r="N289" s="31" t="s">
        <v>480</v>
      </c>
      <c r="O289" s="31" t="s">
        <v>480</v>
      </c>
      <c r="P289" s="31" t="s">
        <v>480</v>
      </c>
      <c r="Q289" s="31" t="s">
        <v>480</v>
      </c>
      <c r="R289" s="31" t="s">
        <v>480</v>
      </c>
      <c r="S289" s="33" t="s">
        <v>480</v>
      </c>
    </row>
    <row r="290" spans="1:19" s="15" customFormat="1" ht="25.5" customHeight="1" x14ac:dyDescent="0.2">
      <c r="A290" s="110" t="s">
        <v>437</v>
      </c>
      <c r="B290" s="111"/>
      <c r="C290" s="115" t="s">
        <v>449</v>
      </c>
      <c r="D290" s="116"/>
      <c r="E290" s="116"/>
      <c r="F290" s="116"/>
      <c r="G290" s="117"/>
      <c r="H290" s="29" t="s">
        <v>3</v>
      </c>
      <c r="I290" s="30">
        <v>432.24136479000003</v>
      </c>
      <c r="J290" s="31">
        <v>292.95206178000001</v>
      </c>
      <c r="K290" s="31">
        <v>377.68640617609799</v>
      </c>
      <c r="L290" s="31" t="s">
        <v>480</v>
      </c>
      <c r="M290" s="31">
        <v>392.09704865257441</v>
      </c>
      <c r="N290" s="31" t="s">
        <v>480</v>
      </c>
      <c r="O290" s="31">
        <v>448.48322054304697</v>
      </c>
      <c r="P290" s="31" t="s">
        <v>480</v>
      </c>
      <c r="Q290" s="31">
        <v>252.73891826797092</v>
      </c>
      <c r="R290" s="31" t="s">
        <v>480</v>
      </c>
      <c r="S290" s="33">
        <f t="shared" si="141"/>
        <v>252.73891826797092</v>
      </c>
    </row>
    <row r="291" spans="1:19" s="15" customFormat="1" ht="25.5" customHeight="1" x14ac:dyDescent="0.2">
      <c r="A291" s="110" t="s">
        <v>438</v>
      </c>
      <c r="B291" s="111"/>
      <c r="C291" s="107" t="s">
        <v>422</v>
      </c>
      <c r="D291" s="108"/>
      <c r="E291" s="108"/>
      <c r="F291" s="108"/>
      <c r="G291" s="109"/>
      <c r="H291" s="29" t="s">
        <v>3</v>
      </c>
      <c r="I291" s="30">
        <v>195.93679868999999</v>
      </c>
      <c r="J291" s="31">
        <v>193.05167434000001</v>
      </c>
      <c r="K291" s="31">
        <v>208.29400000000001</v>
      </c>
      <c r="L291" s="31" t="s">
        <v>480</v>
      </c>
      <c r="M291" s="31">
        <f>M290</f>
        <v>392.09704865257441</v>
      </c>
      <c r="N291" s="31" t="s">
        <v>480</v>
      </c>
      <c r="O291" s="31">
        <f>O290</f>
        <v>448.48322054304697</v>
      </c>
      <c r="P291" s="31" t="s">
        <v>480</v>
      </c>
      <c r="Q291" s="31">
        <f>Q290</f>
        <v>252.73891826797092</v>
      </c>
      <c r="R291" s="31" t="s">
        <v>480</v>
      </c>
      <c r="S291" s="33">
        <f t="shared" si="141"/>
        <v>252.73891826797092</v>
      </c>
    </row>
    <row r="292" spans="1:19" s="15" customFormat="1" ht="25.5" customHeight="1" x14ac:dyDescent="0.2">
      <c r="A292" s="110" t="s">
        <v>439</v>
      </c>
      <c r="B292" s="111"/>
      <c r="C292" s="115" t="s">
        <v>450</v>
      </c>
      <c r="D292" s="116"/>
      <c r="E292" s="116"/>
      <c r="F292" s="116"/>
      <c r="G292" s="117"/>
      <c r="H292" s="29" t="s">
        <v>3</v>
      </c>
      <c r="I292" s="30">
        <v>9.9357869900000004</v>
      </c>
      <c r="J292" s="31">
        <v>9.9329999999999998</v>
      </c>
      <c r="K292" s="31">
        <v>9.99</v>
      </c>
      <c r="L292" s="31" t="s">
        <v>480</v>
      </c>
      <c r="M292" s="31">
        <f>K292</f>
        <v>9.99</v>
      </c>
      <c r="N292" s="31" t="s">
        <v>480</v>
      </c>
      <c r="O292" s="31">
        <f>M292</f>
        <v>9.99</v>
      </c>
      <c r="P292" s="31" t="s">
        <v>480</v>
      </c>
      <c r="Q292" s="31">
        <f>O292</f>
        <v>9.99</v>
      </c>
      <c r="R292" s="31" t="s">
        <v>480</v>
      </c>
      <c r="S292" s="33">
        <f t="shared" si="141"/>
        <v>9.99</v>
      </c>
    </row>
    <row r="293" spans="1:19" s="15" customFormat="1" ht="25.5" customHeight="1" x14ac:dyDescent="0.2">
      <c r="A293" s="110" t="s">
        <v>440</v>
      </c>
      <c r="B293" s="111"/>
      <c r="C293" s="107" t="s">
        <v>422</v>
      </c>
      <c r="D293" s="108"/>
      <c r="E293" s="108"/>
      <c r="F293" s="108"/>
      <c r="G293" s="109"/>
      <c r="H293" s="29" t="s">
        <v>3</v>
      </c>
      <c r="I293" s="30">
        <v>0</v>
      </c>
      <c r="J293" s="31">
        <v>0</v>
      </c>
      <c r="K293" s="31">
        <v>0</v>
      </c>
      <c r="L293" s="31" t="s">
        <v>480</v>
      </c>
      <c r="M293" s="31">
        <f>K293</f>
        <v>0</v>
      </c>
      <c r="N293" s="31" t="s">
        <v>480</v>
      </c>
      <c r="O293" s="31">
        <f>M293</f>
        <v>0</v>
      </c>
      <c r="P293" s="31" t="s">
        <v>480</v>
      </c>
      <c r="Q293" s="31">
        <f>O293</f>
        <v>0</v>
      </c>
      <c r="R293" s="31" t="s">
        <v>480</v>
      </c>
      <c r="S293" s="33">
        <f t="shared" si="141"/>
        <v>0</v>
      </c>
    </row>
    <row r="294" spans="1:19" s="15" customFormat="1" ht="25.5" customHeight="1" x14ac:dyDescent="0.2">
      <c r="A294" s="110" t="s">
        <v>441</v>
      </c>
      <c r="B294" s="111"/>
      <c r="C294" s="115" t="s">
        <v>451</v>
      </c>
      <c r="D294" s="116"/>
      <c r="E294" s="116"/>
      <c r="F294" s="116"/>
      <c r="G294" s="117"/>
      <c r="H294" s="29" t="s">
        <v>3</v>
      </c>
      <c r="I294" s="30">
        <f>14.5099786+4.893</f>
        <v>19.402978600000001</v>
      </c>
      <c r="J294" s="31">
        <f>39.62825043+5.591</f>
        <v>45.219250430000002</v>
      </c>
      <c r="K294" s="31">
        <v>35.088000000000001</v>
      </c>
      <c r="L294" s="31" t="s">
        <v>480</v>
      </c>
      <c r="M294" s="31">
        <v>45.515999999999998</v>
      </c>
      <c r="N294" s="31" t="s">
        <v>480</v>
      </c>
      <c r="O294" s="31">
        <f>M294</f>
        <v>45.515999999999998</v>
      </c>
      <c r="P294" s="31" t="s">
        <v>480</v>
      </c>
      <c r="Q294" s="31">
        <f>O294</f>
        <v>45.515999999999998</v>
      </c>
      <c r="R294" s="31" t="s">
        <v>480</v>
      </c>
      <c r="S294" s="33">
        <f t="shared" si="141"/>
        <v>45.515999999999998</v>
      </c>
    </row>
    <row r="295" spans="1:19" s="15" customFormat="1" ht="25.5" customHeight="1" x14ac:dyDescent="0.2">
      <c r="A295" s="110" t="s">
        <v>442</v>
      </c>
      <c r="B295" s="111"/>
      <c r="C295" s="107" t="s">
        <v>422</v>
      </c>
      <c r="D295" s="108"/>
      <c r="E295" s="108"/>
      <c r="F295" s="108"/>
      <c r="G295" s="109"/>
      <c r="H295" s="29" t="s">
        <v>3</v>
      </c>
      <c r="I295" s="30">
        <v>0</v>
      </c>
      <c r="J295" s="31">
        <v>0</v>
      </c>
      <c r="K295" s="31">
        <v>0</v>
      </c>
      <c r="L295" s="31" t="s">
        <v>480</v>
      </c>
      <c r="M295" s="31">
        <v>0</v>
      </c>
      <c r="N295" s="31" t="s">
        <v>480</v>
      </c>
      <c r="O295" s="31">
        <f>M295</f>
        <v>0</v>
      </c>
      <c r="P295" s="31" t="s">
        <v>480</v>
      </c>
      <c r="Q295" s="31">
        <f>O295</f>
        <v>0</v>
      </c>
      <c r="R295" s="31" t="s">
        <v>480</v>
      </c>
      <c r="S295" s="33">
        <f t="shared" si="141"/>
        <v>0</v>
      </c>
    </row>
    <row r="296" spans="1:19" s="15" customFormat="1" ht="25.5" customHeight="1" x14ac:dyDescent="0.2">
      <c r="A296" s="110" t="s">
        <v>443</v>
      </c>
      <c r="B296" s="111"/>
      <c r="C296" s="115" t="s">
        <v>452</v>
      </c>
      <c r="D296" s="116"/>
      <c r="E296" s="116"/>
      <c r="F296" s="116"/>
      <c r="G296" s="117"/>
      <c r="H296" s="29" t="s">
        <v>3</v>
      </c>
      <c r="I296" s="30" t="s">
        <v>480</v>
      </c>
      <c r="J296" s="31" t="s">
        <v>480</v>
      </c>
      <c r="K296" s="31" t="s">
        <v>480</v>
      </c>
      <c r="L296" s="31" t="s">
        <v>480</v>
      </c>
      <c r="M296" s="31" t="s">
        <v>480</v>
      </c>
      <c r="N296" s="31" t="s">
        <v>480</v>
      </c>
      <c r="O296" s="31" t="s">
        <v>480</v>
      </c>
      <c r="P296" s="31" t="s">
        <v>480</v>
      </c>
      <c r="Q296" s="31" t="s">
        <v>480</v>
      </c>
      <c r="R296" s="31" t="s">
        <v>480</v>
      </c>
      <c r="S296" s="33" t="s">
        <v>480</v>
      </c>
    </row>
    <row r="297" spans="1:19" s="15" customFormat="1" ht="25.5" customHeight="1" x14ac:dyDescent="0.2">
      <c r="A297" s="110" t="s">
        <v>444</v>
      </c>
      <c r="B297" s="111"/>
      <c r="C297" s="107" t="s">
        <v>422</v>
      </c>
      <c r="D297" s="108"/>
      <c r="E297" s="108"/>
      <c r="F297" s="108"/>
      <c r="G297" s="109"/>
      <c r="H297" s="29" t="s">
        <v>3</v>
      </c>
      <c r="I297" s="30" t="s">
        <v>480</v>
      </c>
      <c r="J297" s="31" t="s">
        <v>480</v>
      </c>
      <c r="K297" s="31" t="s">
        <v>480</v>
      </c>
      <c r="L297" s="31" t="s">
        <v>480</v>
      </c>
      <c r="M297" s="31" t="s">
        <v>480</v>
      </c>
      <c r="N297" s="31" t="s">
        <v>480</v>
      </c>
      <c r="O297" s="31" t="s">
        <v>480</v>
      </c>
      <c r="P297" s="31" t="s">
        <v>480</v>
      </c>
      <c r="Q297" s="31" t="s">
        <v>480</v>
      </c>
      <c r="R297" s="31" t="s">
        <v>480</v>
      </c>
      <c r="S297" s="33" t="s">
        <v>480</v>
      </c>
    </row>
    <row r="298" spans="1:19" s="15" customFormat="1" ht="25.5" customHeight="1" x14ac:dyDescent="0.2">
      <c r="A298" s="110" t="s">
        <v>445</v>
      </c>
      <c r="B298" s="111"/>
      <c r="C298" s="115" t="s">
        <v>453</v>
      </c>
      <c r="D298" s="116"/>
      <c r="E298" s="116"/>
      <c r="F298" s="116"/>
      <c r="G298" s="117"/>
      <c r="H298" s="29" t="s">
        <v>3</v>
      </c>
      <c r="I298" s="30" t="s">
        <v>480</v>
      </c>
      <c r="J298" s="31" t="s">
        <v>480</v>
      </c>
      <c r="K298" s="31" t="s">
        <v>480</v>
      </c>
      <c r="L298" s="31" t="s">
        <v>480</v>
      </c>
      <c r="M298" s="31" t="s">
        <v>480</v>
      </c>
      <c r="N298" s="31" t="s">
        <v>480</v>
      </c>
      <c r="O298" s="31" t="s">
        <v>480</v>
      </c>
      <c r="P298" s="31" t="s">
        <v>480</v>
      </c>
      <c r="Q298" s="31" t="s">
        <v>480</v>
      </c>
      <c r="R298" s="31" t="s">
        <v>480</v>
      </c>
      <c r="S298" s="33" t="str">
        <f t="shared" si="141"/>
        <v>-</v>
      </c>
    </row>
    <row r="299" spans="1:19" s="15" customFormat="1" ht="25.5" customHeight="1" x14ac:dyDescent="0.2">
      <c r="A299" s="110" t="s">
        <v>446</v>
      </c>
      <c r="B299" s="111"/>
      <c r="C299" s="107" t="s">
        <v>422</v>
      </c>
      <c r="D299" s="108"/>
      <c r="E299" s="108"/>
      <c r="F299" s="108"/>
      <c r="G299" s="109"/>
      <c r="H299" s="29" t="s">
        <v>3</v>
      </c>
      <c r="I299" s="30" t="s">
        <v>480</v>
      </c>
      <c r="J299" s="31" t="s">
        <v>480</v>
      </c>
      <c r="K299" s="31" t="s">
        <v>480</v>
      </c>
      <c r="L299" s="31" t="s">
        <v>480</v>
      </c>
      <c r="M299" s="31" t="s">
        <v>480</v>
      </c>
      <c r="N299" s="31" t="s">
        <v>480</v>
      </c>
      <c r="O299" s="31" t="s">
        <v>480</v>
      </c>
      <c r="P299" s="31" t="s">
        <v>480</v>
      </c>
      <c r="Q299" s="31" t="s">
        <v>480</v>
      </c>
      <c r="R299" s="31" t="s">
        <v>480</v>
      </c>
      <c r="S299" s="33" t="str">
        <f t="shared" si="141"/>
        <v>-</v>
      </c>
    </row>
    <row r="300" spans="1:19" s="15" customFormat="1" ht="25.5" customHeight="1" x14ac:dyDescent="0.2">
      <c r="A300" s="110" t="s">
        <v>447</v>
      </c>
      <c r="B300" s="111"/>
      <c r="C300" s="115" t="s">
        <v>454</v>
      </c>
      <c r="D300" s="116"/>
      <c r="E300" s="116"/>
      <c r="F300" s="116"/>
      <c r="G300" s="117"/>
      <c r="H300" s="29" t="s">
        <v>3</v>
      </c>
      <c r="I300" s="30">
        <f>I280-I283-I290-I292-I294</f>
        <v>1443.1561214199994</v>
      </c>
      <c r="J300" s="31">
        <f>J280-J283-J290-J292-J294</f>
        <v>2364.0121018999998</v>
      </c>
      <c r="K300" s="31">
        <f>K280-K283-K290-K292-K294</f>
        <v>1811.654479130842</v>
      </c>
      <c r="L300" s="31" t="s">
        <v>480</v>
      </c>
      <c r="M300" s="31">
        <f>M280-M283-M290-M292-M294</f>
        <v>1186.6483769690656</v>
      </c>
      <c r="N300" s="31" t="s">
        <v>480</v>
      </c>
      <c r="O300" s="31">
        <f>O280-O283-O290-O292-O294</f>
        <v>587.24407694772344</v>
      </c>
      <c r="P300" s="31" t="s">
        <v>480</v>
      </c>
      <c r="Q300" s="31">
        <f>Q280-Q283-Q290-Q292-Q294</f>
        <v>211.14363824724111</v>
      </c>
      <c r="R300" s="31" t="s">
        <v>480</v>
      </c>
      <c r="S300" s="33">
        <f t="shared" si="141"/>
        <v>211.14363824724111</v>
      </c>
    </row>
    <row r="301" spans="1:19" s="15" customFormat="1" ht="25.5" customHeight="1" x14ac:dyDescent="0.2">
      <c r="A301" s="110" t="s">
        <v>448</v>
      </c>
      <c r="B301" s="111"/>
      <c r="C301" s="107" t="s">
        <v>422</v>
      </c>
      <c r="D301" s="108"/>
      <c r="E301" s="108"/>
      <c r="F301" s="108"/>
      <c r="G301" s="109"/>
      <c r="H301" s="29" t="s">
        <v>3</v>
      </c>
      <c r="I301" s="30">
        <f>1720.33712222-I285-I291-I287</f>
        <v>1008.1948222800002</v>
      </c>
      <c r="J301" s="31">
        <v>1946.49131564</v>
      </c>
      <c r="K301" s="31">
        <v>1472.9670000000001</v>
      </c>
      <c r="L301" s="31" t="s">
        <v>480</v>
      </c>
      <c r="M301" s="31">
        <f>M280-K280+K301</f>
        <v>710.55464308372007</v>
      </c>
      <c r="N301" s="31" t="s">
        <v>480</v>
      </c>
      <c r="O301" s="31">
        <f>O300*0.8</f>
        <v>469.79526155817877</v>
      </c>
      <c r="P301" s="31" t="s">
        <v>480</v>
      </c>
      <c r="Q301" s="31">
        <f>Q300*0.8</f>
        <v>168.9149105977929</v>
      </c>
      <c r="R301" s="31" t="s">
        <v>480</v>
      </c>
      <c r="S301" s="33">
        <f t="shared" si="141"/>
        <v>168.9149105977929</v>
      </c>
    </row>
    <row r="302" spans="1:19" s="15" customFormat="1" ht="25.5" customHeight="1" x14ac:dyDescent="0.2">
      <c r="A302" s="110" t="s">
        <v>455</v>
      </c>
      <c r="B302" s="111"/>
      <c r="C302" s="112" t="s">
        <v>468</v>
      </c>
      <c r="D302" s="113"/>
      <c r="E302" s="113"/>
      <c r="F302" s="113"/>
      <c r="G302" s="114"/>
      <c r="H302" s="29" t="s">
        <v>479</v>
      </c>
      <c r="I302" s="51">
        <f>(I173/(I29*1.18))*100</f>
        <v>93.872043029702013</v>
      </c>
      <c r="J302" s="52">
        <f>(J173/(J29*1.2))*100</f>
        <v>91.762178757160711</v>
      </c>
      <c r="K302" s="52">
        <f>(K173/(K29*1.2))*100</f>
        <v>95.5559765439844</v>
      </c>
      <c r="L302" s="31" t="s">
        <v>480</v>
      </c>
      <c r="M302" s="31">
        <f>(M173/(M29*1.2))*100</f>
        <v>98.963482308437335</v>
      </c>
      <c r="N302" s="31" t="s">
        <v>480</v>
      </c>
      <c r="O302" s="31">
        <f>(O173/(O29*1.2))*100</f>
        <v>99.507277954210338</v>
      </c>
      <c r="P302" s="31" t="s">
        <v>480</v>
      </c>
      <c r="Q302" s="31">
        <f>(Q173/(Q29*1.2))*100</f>
        <v>100.33600964560327</v>
      </c>
      <c r="R302" s="31" t="s">
        <v>480</v>
      </c>
      <c r="S302" s="33">
        <f>(S173/(S29*1.2))*100</f>
        <v>99.628754575356908</v>
      </c>
    </row>
    <row r="303" spans="1:19" s="15" customFormat="1" ht="25.5" customHeight="1" x14ac:dyDescent="0.2">
      <c r="A303" s="110" t="s">
        <v>456</v>
      </c>
      <c r="B303" s="111"/>
      <c r="C303" s="115" t="s">
        <v>469</v>
      </c>
      <c r="D303" s="116"/>
      <c r="E303" s="116"/>
      <c r="F303" s="116"/>
      <c r="G303" s="117"/>
      <c r="H303" s="29" t="s">
        <v>479</v>
      </c>
      <c r="I303" s="30" t="s">
        <v>480</v>
      </c>
      <c r="J303" s="31" t="s">
        <v>480</v>
      </c>
      <c r="K303" s="31" t="s">
        <v>480</v>
      </c>
      <c r="L303" s="31" t="s">
        <v>480</v>
      </c>
      <c r="M303" s="31" t="s">
        <v>480</v>
      </c>
      <c r="N303" s="31" t="s">
        <v>480</v>
      </c>
      <c r="O303" s="31" t="s">
        <v>480</v>
      </c>
      <c r="P303" s="31" t="s">
        <v>480</v>
      </c>
      <c r="Q303" s="31" t="s">
        <v>480</v>
      </c>
      <c r="R303" s="31" t="s">
        <v>480</v>
      </c>
      <c r="S303" s="33" t="s">
        <v>480</v>
      </c>
    </row>
    <row r="304" spans="1:19" s="15" customFormat="1" ht="25.5" customHeight="1" x14ac:dyDescent="0.2">
      <c r="A304" s="110" t="s">
        <v>457</v>
      </c>
      <c r="B304" s="111"/>
      <c r="C304" s="115" t="s">
        <v>470</v>
      </c>
      <c r="D304" s="116"/>
      <c r="E304" s="116"/>
      <c r="F304" s="116"/>
      <c r="G304" s="117"/>
      <c r="H304" s="29" t="s">
        <v>479</v>
      </c>
      <c r="I304" s="30" t="s">
        <v>480</v>
      </c>
      <c r="J304" s="31" t="s">
        <v>480</v>
      </c>
      <c r="K304" s="31" t="s">
        <v>480</v>
      </c>
      <c r="L304" s="31" t="s">
        <v>480</v>
      </c>
      <c r="M304" s="31" t="s">
        <v>480</v>
      </c>
      <c r="N304" s="31" t="s">
        <v>480</v>
      </c>
      <c r="O304" s="31" t="s">
        <v>480</v>
      </c>
      <c r="P304" s="31" t="s">
        <v>480</v>
      </c>
      <c r="Q304" s="31" t="s">
        <v>480</v>
      </c>
      <c r="R304" s="31" t="s">
        <v>480</v>
      </c>
      <c r="S304" s="33" t="s">
        <v>480</v>
      </c>
    </row>
    <row r="305" spans="1:19" s="15" customFormat="1" ht="25.5" customHeight="1" x14ac:dyDescent="0.2">
      <c r="A305" s="110" t="s">
        <v>458</v>
      </c>
      <c r="B305" s="111"/>
      <c r="C305" s="115" t="s">
        <v>471</v>
      </c>
      <c r="D305" s="116"/>
      <c r="E305" s="116"/>
      <c r="F305" s="116"/>
      <c r="G305" s="117"/>
      <c r="H305" s="29" t="s">
        <v>479</v>
      </c>
      <c r="I305" s="30" t="s">
        <v>480</v>
      </c>
      <c r="J305" s="31" t="s">
        <v>480</v>
      </c>
      <c r="K305" s="31" t="s">
        <v>480</v>
      </c>
      <c r="L305" s="31" t="s">
        <v>480</v>
      </c>
      <c r="M305" s="31" t="s">
        <v>480</v>
      </c>
      <c r="N305" s="31" t="s">
        <v>480</v>
      </c>
      <c r="O305" s="31" t="s">
        <v>480</v>
      </c>
      <c r="P305" s="31" t="s">
        <v>480</v>
      </c>
      <c r="Q305" s="31" t="s">
        <v>480</v>
      </c>
      <c r="R305" s="31" t="s">
        <v>480</v>
      </c>
      <c r="S305" s="33" t="s">
        <v>480</v>
      </c>
    </row>
    <row r="306" spans="1:19" s="15" customFormat="1" ht="25.5" customHeight="1" x14ac:dyDescent="0.2">
      <c r="A306" s="110" t="s">
        <v>459</v>
      </c>
      <c r="B306" s="111"/>
      <c r="C306" s="115" t="s">
        <v>472</v>
      </c>
      <c r="D306" s="116"/>
      <c r="E306" s="116"/>
      <c r="F306" s="116"/>
      <c r="G306" s="117"/>
      <c r="H306" s="29" t="s">
        <v>479</v>
      </c>
      <c r="I306" s="30" t="s">
        <v>480</v>
      </c>
      <c r="J306" s="31" t="s">
        <v>480</v>
      </c>
      <c r="K306" s="31" t="s">
        <v>480</v>
      </c>
      <c r="L306" s="31" t="s">
        <v>480</v>
      </c>
      <c r="M306" s="31" t="s">
        <v>480</v>
      </c>
      <c r="N306" s="31" t="s">
        <v>480</v>
      </c>
      <c r="O306" s="31" t="s">
        <v>480</v>
      </c>
      <c r="P306" s="31" t="s">
        <v>480</v>
      </c>
      <c r="Q306" s="31" t="s">
        <v>480</v>
      </c>
      <c r="R306" s="31" t="s">
        <v>480</v>
      </c>
      <c r="S306" s="33" t="s">
        <v>480</v>
      </c>
    </row>
    <row r="307" spans="1:19" s="15" customFormat="1" ht="25.5" customHeight="1" x14ac:dyDescent="0.2">
      <c r="A307" s="110" t="s">
        <v>460</v>
      </c>
      <c r="B307" s="111"/>
      <c r="C307" s="115" t="s">
        <v>473</v>
      </c>
      <c r="D307" s="116"/>
      <c r="E307" s="116"/>
      <c r="F307" s="116"/>
      <c r="G307" s="117"/>
      <c r="H307" s="29" t="s">
        <v>479</v>
      </c>
      <c r="I307" s="30" t="s">
        <v>480</v>
      </c>
      <c r="J307" s="31" t="s">
        <v>480</v>
      </c>
      <c r="K307" s="31" t="s">
        <v>480</v>
      </c>
      <c r="L307" s="31" t="s">
        <v>480</v>
      </c>
      <c r="M307" s="31" t="s">
        <v>480</v>
      </c>
      <c r="N307" s="31" t="s">
        <v>480</v>
      </c>
      <c r="O307" s="31" t="s">
        <v>480</v>
      </c>
      <c r="P307" s="31" t="s">
        <v>480</v>
      </c>
      <c r="Q307" s="31" t="s">
        <v>480</v>
      </c>
      <c r="R307" s="31" t="s">
        <v>480</v>
      </c>
      <c r="S307" s="33" t="s">
        <v>480</v>
      </c>
    </row>
    <row r="308" spans="1:19" s="15" customFormat="1" ht="25.5" customHeight="1" x14ac:dyDescent="0.2">
      <c r="A308" s="110" t="s">
        <v>461</v>
      </c>
      <c r="B308" s="111"/>
      <c r="C308" s="115" t="s">
        <v>474</v>
      </c>
      <c r="D308" s="116"/>
      <c r="E308" s="116"/>
      <c r="F308" s="116"/>
      <c r="G308" s="117"/>
      <c r="H308" s="29" t="s">
        <v>479</v>
      </c>
      <c r="I308" s="30" t="s">
        <v>480</v>
      </c>
      <c r="J308" s="31" t="s">
        <v>480</v>
      </c>
      <c r="K308" s="31" t="s">
        <v>480</v>
      </c>
      <c r="L308" s="31" t="s">
        <v>480</v>
      </c>
      <c r="M308" s="31" t="s">
        <v>480</v>
      </c>
      <c r="N308" s="31" t="s">
        <v>480</v>
      </c>
      <c r="O308" s="31" t="s">
        <v>480</v>
      </c>
      <c r="P308" s="31" t="s">
        <v>480</v>
      </c>
      <c r="Q308" s="31" t="s">
        <v>480</v>
      </c>
      <c r="R308" s="31" t="s">
        <v>480</v>
      </c>
      <c r="S308" s="33" t="s">
        <v>480</v>
      </c>
    </row>
    <row r="309" spans="1:19" s="15" customFormat="1" ht="25.5" customHeight="1" x14ac:dyDescent="0.2">
      <c r="A309" s="110" t="s">
        <v>462</v>
      </c>
      <c r="B309" s="111"/>
      <c r="C309" s="115" t="s">
        <v>475</v>
      </c>
      <c r="D309" s="116"/>
      <c r="E309" s="116"/>
      <c r="F309" s="116"/>
      <c r="G309" s="117"/>
      <c r="H309" s="29" t="s">
        <v>479</v>
      </c>
      <c r="I309" s="30" t="s">
        <v>480</v>
      </c>
      <c r="J309" s="31" t="s">
        <v>480</v>
      </c>
      <c r="K309" s="31" t="s">
        <v>480</v>
      </c>
      <c r="L309" s="31" t="s">
        <v>480</v>
      </c>
      <c r="M309" s="31" t="s">
        <v>480</v>
      </c>
      <c r="N309" s="31" t="s">
        <v>480</v>
      </c>
      <c r="O309" s="31" t="s">
        <v>480</v>
      </c>
      <c r="P309" s="31" t="s">
        <v>480</v>
      </c>
      <c r="Q309" s="31" t="s">
        <v>480</v>
      </c>
      <c r="R309" s="31" t="s">
        <v>480</v>
      </c>
      <c r="S309" s="33" t="s">
        <v>480</v>
      </c>
    </row>
    <row r="310" spans="1:19" s="15" customFormat="1" ht="25.5" customHeight="1" x14ac:dyDescent="0.2">
      <c r="A310" s="110" t="s">
        <v>463</v>
      </c>
      <c r="B310" s="111"/>
      <c r="C310" s="115" t="s">
        <v>476</v>
      </c>
      <c r="D310" s="116"/>
      <c r="E310" s="116"/>
      <c r="F310" s="116"/>
      <c r="G310" s="117"/>
      <c r="H310" s="29" t="s">
        <v>479</v>
      </c>
      <c r="I310" s="51">
        <f>I302</f>
        <v>93.872043029702013</v>
      </c>
      <c r="J310" s="52">
        <f t="shared" ref="J310" si="142">J302</f>
        <v>91.762178757160711</v>
      </c>
      <c r="K310" s="52">
        <f t="shared" ref="K310:S310" si="143">K302</f>
        <v>95.5559765439844</v>
      </c>
      <c r="L310" s="31" t="s">
        <v>480</v>
      </c>
      <c r="M310" s="31">
        <f t="shared" si="143"/>
        <v>98.963482308437335</v>
      </c>
      <c r="N310" s="31" t="s">
        <v>480</v>
      </c>
      <c r="O310" s="31">
        <f t="shared" si="143"/>
        <v>99.507277954210338</v>
      </c>
      <c r="P310" s="31" t="s">
        <v>480</v>
      </c>
      <c r="Q310" s="31">
        <f t="shared" si="143"/>
        <v>100.33600964560327</v>
      </c>
      <c r="R310" s="31" t="str">
        <f t="shared" si="143"/>
        <v>-</v>
      </c>
      <c r="S310" s="33">
        <f t="shared" si="143"/>
        <v>99.628754575356908</v>
      </c>
    </row>
    <row r="311" spans="1:19" s="15" customFormat="1" ht="25.5" customHeight="1" x14ac:dyDescent="0.2">
      <c r="A311" s="110" t="s">
        <v>464</v>
      </c>
      <c r="B311" s="111"/>
      <c r="C311" s="115" t="s">
        <v>477</v>
      </c>
      <c r="D311" s="116"/>
      <c r="E311" s="116"/>
      <c r="F311" s="116"/>
      <c r="G311" s="117"/>
      <c r="H311" s="29" t="s">
        <v>479</v>
      </c>
      <c r="I311" s="30" t="s">
        <v>480</v>
      </c>
      <c r="J311" s="31" t="s">
        <v>480</v>
      </c>
      <c r="K311" s="31" t="s">
        <v>480</v>
      </c>
      <c r="L311" s="31" t="s">
        <v>480</v>
      </c>
      <c r="M311" s="31" t="s">
        <v>480</v>
      </c>
      <c r="N311" s="31" t="s">
        <v>480</v>
      </c>
      <c r="O311" s="31" t="s">
        <v>480</v>
      </c>
      <c r="P311" s="31" t="s">
        <v>480</v>
      </c>
      <c r="Q311" s="31" t="s">
        <v>480</v>
      </c>
      <c r="R311" s="31" t="s">
        <v>480</v>
      </c>
      <c r="S311" s="33" t="s">
        <v>480</v>
      </c>
    </row>
    <row r="312" spans="1:19" s="15" customFormat="1" ht="25.5" customHeight="1" x14ac:dyDescent="0.2">
      <c r="A312" s="110" t="s">
        <v>465</v>
      </c>
      <c r="B312" s="111"/>
      <c r="C312" s="115" t="s">
        <v>676</v>
      </c>
      <c r="D312" s="116"/>
      <c r="E312" s="116"/>
      <c r="F312" s="116"/>
      <c r="G312" s="117"/>
      <c r="H312" s="29" t="s">
        <v>479</v>
      </c>
      <c r="I312" s="30" t="s">
        <v>480</v>
      </c>
      <c r="J312" s="31" t="s">
        <v>480</v>
      </c>
      <c r="K312" s="31" t="s">
        <v>480</v>
      </c>
      <c r="L312" s="31" t="s">
        <v>480</v>
      </c>
      <c r="M312" s="31" t="s">
        <v>480</v>
      </c>
      <c r="N312" s="31" t="s">
        <v>480</v>
      </c>
      <c r="O312" s="31" t="s">
        <v>480</v>
      </c>
      <c r="P312" s="31" t="s">
        <v>480</v>
      </c>
      <c r="Q312" s="31" t="s">
        <v>480</v>
      </c>
      <c r="R312" s="31" t="s">
        <v>480</v>
      </c>
      <c r="S312" s="33" t="s">
        <v>480</v>
      </c>
    </row>
    <row r="313" spans="1:19" s="15" customFormat="1" ht="25.5" customHeight="1" x14ac:dyDescent="0.2">
      <c r="A313" s="110" t="s">
        <v>466</v>
      </c>
      <c r="B313" s="111"/>
      <c r="C313" s="107" t="s">
        <v>83</v>
      </c>
      <c r="D313" s="108"/>
      <c r="E313" s="108"/>
      <c r="F313" s="108"/>
      <c r="G313" s="109"/>
      <c r="H313" s="29" t="s">
        <v>479</v>
      </c>
      <c r="I313" s="30" t="s">
        <v>480</v>
      </c>
      <c r="J313" s="31" t="s">
        <v>480</v>
      </c>
      <c r="K313" s="31" t="s">
        <v>480</v>
      </c>
      <c r="L313" s="31" t="s">
        <v>480</v>
      </c>
      <c r="M313" s="31" t="s">
        <v>480</v>
      </c>
      <c r="N313" s="31" t="s">
        <v>480</v>
      </c>
      <c r="O313" s="31" t="s">
        <v>480</v>
      </c>
      <c r="P313" s="31" t="s">
        <v>480</v>
      </c>
      <c r="Q313" s="31" t="s">
        <v>480</v>
      </c>
      <c r="R313" s="31" t="s">
        <v>480</v>
      </c>
      <c r="S313" s="33" t="s">
        <v>480</v>
      </c>
    </row>
    <row r="314" spans="1:19" s="15" customFormat="1" ht="25.5" customHeight="1" thickBot="1" x14ac:dyDescent="0.25">
      <c r="A314" s="121" t="s">
        <v>467</v>
      </c>
      <c r="B314" s="122"/>
      <c r="C314" s="163" t="s">
        <v>84</v>
      </c>
      <c r="D314" s="164"/>
      <c r="E314" s="164"/>
      <c r="F314" s="164"/>
      <c r="G314" s="165"/>
      <c r="H314" s="39" t="s">
        <v>479</v>
      </c>
      <c r="I314" s="40" t="s">
        <v>480</v>
      </c>
      <c r="J314" s="41" t="s">
        <v>480</v>
      </c>
      <c r="K314" s="41" t="s">
        <v>480</v>
      </c>
      <c r="L314" s="41" t="s">
        <v>480</v>
      </c>
      <c r="M314" s="41" t="s">
        <v>480</v>
      </c>
      <c r="N314" s="41" t="s">
        <v>480</v>
      </c>
      <c r="O314" s="41" t="s">
        <v>480</v>
      </c>
      <c r="P314" s="41" t="s">
        <v>480</v>
      </c>
      <c r="Q314" s="41" t="s">
        <v>480</v>
      </c>
      <c r="R314" s="41" t="s">
        <v>480</v>
      </c>
      <c r="S314" s="43" t="s">
        <v>480</v>
      </c>
    </row>
    <row r="315" spans="1:19" s="15" customFormat="1" ht="25.5" customHeight="1" thickBot="1" x14ac:dyDescent="0.25">
      <c r="A315" s="166" t="s">
        <v>478</v>
      </c>
      <c r="B315" s="167"/>
      <c r="C315" s="167"/>
      <c r="D315" s="167"/>
      <c r="E315" s="167"/>
      <c r="F315" s="167"/>
      <c r="G315" s="167"/>
      <c r="H315" s="167"/>
      <c r="I315" s="167"/>
      <c r="J315" s="167"/>
      <c r="K315" s="167"/>
      <c r="L315" s="167"/>
      <c r="M315" s="167"/>
      <c r="N315" s="167"/>
      <c r="O315" s="167"/>
      <c r="P315" s="167"/>
      <c r="Q315" s="167"/>
      <c r="R315" s="167"/>
      <c r="S315" s="168"/>
    </row>
    <row r="316" spans="1:19" s="15" customFormat="1" ht="25.5" customHeight="1" x14ac:dyDescent="0.2">
      <c r="A316" s="110" t="s">
        <v>483</v>
      </c>
      <c r="B316" s="111"/>
      <c r="C316" s="118" t="s">
        <v>484</v>
      </c>
      <c r="D316" s="119"/>
      <c r="E316" s="119"/>
      <c r="F316" s="119"/>
      <c r="G316" s="120"/>
      <c r="H316" s="29" t="s">
        <v>480</v>
      </c>
      <c r="I316" s="30" t="s">
        <v>485</v>
      </c>
      <c r="J316" s="31" t="s">
        <v>485</v>
      </c>
      <c r="K316" s="31" t="s">
        <v>485</v>
      </c>
      <c r="L316" s="31" t="s">
        <v>485</v>
      </c>
      <c r="M316" s="31" t="s">
        <v>485</v>
      </c>
      <c r="N316" s="31" t="s">
        <v>485</v>
      </c>
      <c r="O316" s="31" t="s">
        <v>485</v>
      </c>
      <c r="P316" s="31" t="s">
        <v>485</v>
      </c>
      <c r="Q316" s="31" t="s">
        <v>485</v>
      </c>
      <c r="R316" s="31" t="s">
        <v>485</v>
      </c>
      <c r="S316" s="33" t="s">
        <v>485</v>
      </c>
    </row>
    <row r="317" spans="1:19" s="15" customFormat="1" ht="25.5" customHeight="1" x14ac:dyDescent="0.2">
      <c r="A317" s="110" t="s">
        <v>486</v>
      </c>
      <c r="B317" s="111"/>
      <c r="C317" s="112" t="s">
        <v>492</v>
      </c>
      <c r="D317" s="113"/>
      <c r="E317" s="113"/>
      <c r="F317" s="113"/>
      <c r="G317" s="114"/>
      <c r="H317" s="29" t="s">
        <v>481</v>
      </c>
      <c r="I317" s="30" t="s">
        <v>480</v>
      </c>
      <c r="J317" s="31" t="s">
        <v>480</v>
      </c>
      <c r="K317" s="31" t="s">
        <v>480</v>
      </c>
      <c r="L317" s="31" t="s">
        <v>480</v>
      </c>
      <c r="M317" s="31" t="s">
        <v>480</v>
      </c>
      <c r="N317" s="31" t="s">
        <v>480</v>
      </c>
      <c r="O317" s="31" t="s">
        <v>480</v>
      </c>
      <c r="P317" s="31" t="s">
        <v>480</v>
      </c>
      <c r="Q317" s="31" t="s">
        <v>480</v>
      </c>
      <c r="R317" s="31" t="s">
        <v>480</v>
      </c>
      <c r="S317" s="33" t="s">
        <v>480</v>
      </c>
    </row>
    <row r="318" spans="1:19" s="15" customFormat="1" ht="25.5" customHeight="1" x14ac:dyDescent="0.2">
      <c r="A318" s="110" t="s">
        <v>487</v>
      </c>
      <c r="B318" s="111"/>
      <c r="C318" s="112" t="s">
        <v>493</v>
      </c>
      <c r="D318" s="113"/>
      <c r="E318" s="113"/>
      <c r="F318" s="113"/>
      <c r="G318" s="114"/>
      <c r="H318" s="29" t="s">
        <v>482</v>
      </c>
      <c r="I318" s="30" t="s">
        <v>480</v>
      </c>
      <c r="J318" s="31" t="s">
        <v>480</v>
      </c>
      <c r="K318" s="31" t="s">
        <v>480</v>
      </c>
      <c r="L318" s="31" t="s">
        <v>480</v>
      </c>
      <c r="M318" s="31" t="s">
        <v>480</v>
      </c>
      <c r="N318" s="31" t="s">
        <v>480</v>
      </c>
      <c r="O318" s="31" t="s">
        <v>480</v>
      </c>
      <c r="P318" s="31" t="s">
        <v>480</v>
      </c>
      <c r="Q318" s="31" t="s">
        <v>480</v>
      </c>
      <c r="R318" s="31" t="s">
        <v>480</v>
      </c>
      <c r="S318" s="33" t="s">
        <v>480</v>
      </c>
    </row>
    <row r="319" spans="1:19" s="15" customFormat="1" ht="25.5" customHeight="1" x14ac:dyDescent="0.2">
      <c r="A319" s="110" t="s">
        <v>488</v>
      </c>
      <c r="B319" s="111"/>
      <c r="C319" s="112" t="s">
        <v>494</v>
      </c>
      <c r="D319" s="113"/>
      <c r="E319" s="113"/>
      <c r="F319" s="113"/>
      <c r="G319" s="114"/>
      <c r="H319" s="29" t="s">
        <v>481</v>
      </c>
      <c r="I319" s="30" t="s">
        <v>480</v>
      </c>
      <c r="J319" s="31" t="s">
        <v>480</v>
      </c>
      <c r="K319" s="31" t="s">
        <v>480</v>
      </c>
      <c r="L319" s="31" t="s">
        <v>480</v>
      </c>
      <c r="M319" s="31" t="s">
        <v>480</v>
      </c>
      <c r="N319" s="31" t="s">
        <v>480</v>
      </c>
      <c r="O319" s="31" t="s">
        <v>480</v>
      </c>
      <c r="P319" s="31" t="s">
        <v>480</v>
      </c>
      <c r="Q319" s="31" t="s">
        <v>480</v>
      </c>
      <c r="R319" s="31" t="s">
        <v>480</v>
      </c>
      <c r="S319" s="33" t="s">
        <v>480</v>
      </c>
    </row>
    <row r="320" spans="1:19" s="15" customFormat="1" ht="25.5" customHeight="1" x14ac:dyDescent="0.2">
      <c r="A320" s="110" t="s">
        <v>489</v>
      </c>
      <c r="B320" s="111"/>
      <c r="C320" s="112" t="s">
        <v>495</v>
      </c>
      <c r="D320" s="113"/>
      <c r="E320" s="113"/>
      <c r="F320" s="113"/>
      <c r="G320" s="114"/>
      <c r="H320" s="29" t="s">
        <v>482</v>
      </c>
      <c r="I320" s="30" t="s">
        <v>480</v>
      </c>
      <c r="J320" s="31" t="s">
        <v>480</v>
      </c>
      <c r="K320" s="31" t="s">
        <v>480</v>
      </c>
      <c r="L320" s="31" t="s">
        <v>480</v>
      </c>
      <c r="M320" s="31" t="s">
        <v>480</v>
      </c>
      <c r="N320" s="31" t="s">
        <v>480</v>
      </c>
      <c r="O320" s="31" t="s">
        <v>480</v>
      </c>
      <c r="P320" s="31" t="s">
        <v>480</v>
      </c>
      <c r="Q320" s="31" t="s">
        <v>480</v>
      </c>
      <c r="R320" s="31" t="s">
        <v>480</v>
      </c>
      <c r="S320" s="33" t="s">
        <v>480</v>
      </c>
    </row>
    <row r="321" spans="1:19" s="15" customFormat="1" ht="25.5" customHeight="1" x14ac:dyDescent="0.2">
      <c r="A321" s="110" t="s">
        <v>490</v>
      </c>
      <c r="B321" s="111"/>
      <c r="C321" s="112" t="s">
        <v>496</v>
      </c>
      <c r="D321" s="113"/>
      <c r="E321" s="113"/>
      <c r="F321" s="113"/>
      <c r="G321" s="114"/>
      <c r="H321" s="29" t="s">
        <v>503</v>
      </c>
      <c r="I321" s="30" t="s">
        <v>480</v>
      </c>
      <c r="J321" s="31" t="s">
        <v>480</v>
      </c>
      <c r="K321" s="31" t="s">
        <v>480</v>
      </c>
      <c r="L321" s="31" t="s">
        <v>480</v>
      </c>
      <c r="M321" s="31" t="s">
        <v>480</v>
      </c>
      <c r="N321" s="31" t="s">
        <v>480</v>
      </c>
      <c r="O321" s="31" t="s">
        <v>480</v>
      </c>
      <c r="P321" s="31" t="s">
        <v>480</v>
      </c>
      <c r="Q321" s="31" t="s">
        <v>480</v>
      </c>
      <c r="R321" s="31" t="s">
        <v>480</v>
      </c>
      <c r="S321" s="33" t="s">
        <v>480</v>
      </c>
    </row>
    <row r="322" spans="1:19" s="15" customFormat="1" ht="25.5" customHeight="1" x14ac:dyDescent="0.2">
      <c r="A322" s="110" t="s">
        <v>491</v>
      </c>
      <c r="B322" s="111"/>
      <c r="C322" s="112" t="s">
        <v>497</v>
      </c>
      <c r="D322" s="113"/>
      <c r="E322" s="113"/>
      <c r="F322" s="113"/>
      <c r="G322" s="114"/>
      <c r="H322" s="29" t="s">
        <v>480</v>
      </c>
      <c r="I322" s="30" t="s">
        <v>485</v>
      </c>
      <c r="J322" s="31" t="s">
        <v>485</v>
      </c>
      <c r="K322" s="31" t="s">
        <v>485</v>
      </c>
      <c r="L322" s="31" t="s">
        <v>485</v>
      </c>
      <c r="M322" s="31" t="s">
        <v>485</v>
      </c>
      <c r="N322" s="31" t="s">
        <v>485</v>
      </c>
      <c r="O322" s="31" t="s">
        <v>485</v>
      </c>
      <c r="P322" s="31" t="s">
        <v>485</v>
      </c>
      <c r="Q322" s="31" t="s">
        <v>485</v>
      </c>
      <c r="R322" s="31" t="s">
        <v>485</v>
      </c>
      <c r="S322" s="33" t="s">
        <v>485</v>
      </c>
    </row>
    <row r="323" spans="1:19" s="15" customFormat="1" ht="25.5" customHeight="1" x14ac:dyDescent="0.2">
      <c r="A323" s="110" t="s">
        <v>498</v>
      </c>
      <c r="B323" s="111"/>
      <c r="C323" s="115" t="s">
        <v>500</v>
      </c>
      <c r="D323" s="116"/>
      <c r="E323" s="116"/>
      <c r="F323" s="116"/>
      <c r="G323" s="117"/>
      <c r="H323" s="29" t="s">
        <v>503</v>
      </c>
      <c r="I323" s="30" t="s">
        <v>480</v>
      </c>
      <c r="J323" s="31" t="s">
        <v>480</v>
      </c>
      <c r="K323" s="31" t="s">
        <v>480</v>
      </c>
      <c r="L323" s="31" t="s">
        <v>480</v>
      </c>
      <c r="M323" s="31" t="s">
        <v>480</v>
      </c>
      <c r="N323" s="31" t="s">
        <v>480</v>
      </c>
      <c r="O323" s="31" t="s">
        <v>480</v>
      </c>
      <c r="P323" s="31" t="s">
        <v>480</v>
      </c>
      <c r="Q323" s="31" t="s">
        <v>480</v>
      </c>
      <c r="R323" s="31" t="s">
        <v>480</v>
      </c>
      <c r="S323" s="33" t="s">
        <v>480</v>
      </c>
    </row>
    <row r="324" spans="1:19" s="15" customFormat="1" ht="25.5" customHeight="1" x14ac:dyDescent="0.2">
      <c r="A324" s="110" t="s">
        <v>499</v>
      </c>
      <c r="B324" s="111"/>
      <c r="C324" s="115" t="s">
        <v>501</v>
      </c>
      <c r="D324" s="116"/>
      <c r="E324" s="116"/>
      <c r="F324" s="116"/>
      <c r="G324" s="117"/>
      <c r="H324" s="29" t="s">
        <v>502</v>
      </c>
      <c r="I324" s="30" t="s">
        <v>480</v>
      </c>
      <c r="J324" s="31" t="s">
        <v>480</v>
      </c>
      <c r="K324" s="31" t="s">
        <v>480</v>
      </c>
      <c r="L324" s="31" t="s">
        <v>480</v>
      </c>
      <c r="M324" s="31" t="s">
        <v>480</v>
      </c>
      <c r="N324" s="31" t="s">
        <v>480</v>
      </c>
      <c r="O324" s="31" t="s">
        <v>480</v>
      </c>
      <c r="P324" s="31" t="s">
        <v>480</v>
      </c>
      <c r="Q324" s="31" t="s">
        <v>480</v>
      </c>
      <c r="R324" s="31" t="s">
        <v>480</v>
      </c>
      <c r="S324" s="33" t="s">
        <v>480</v>
      </c>
    </row>
    <row r="325" spans="1:19" s="15" customFormat="1" ht="25.5" customHeight="1" x14ac:dyDescent="0.2">
      <c r="A325" s="110" t="s">
        <v>504</v>
      </c>
      <c r="B325" s="111"/>
      <c r="C325" s="112" t="s">
        <v>508</v>
      </c>
      <c r="D325" s="113"/>
      <c r="E325" s="113"/>
      <c r="F325" s="113"/>
      <c r="G325" s="114"/>
      <c r="H325" s="29" t="s">
        <v>480</v>
      </c>
      <c r="I325" s="30" t="s">
        <v>485</v>
      </c>
      <c r="J325" s="31" t="s">
        <v>485</v>
      </c>
      <c r="K325" s="31" t="s">
        <v>485</v>
      </c>
      <c r="L325" s="31" t="s">
        <v>485</v>
      </c>
      <c r="M325" s="31" t="s">
        <v>485</v>
      </c>
      <c r="N325" s="31" t="s">
        <v>485</v>
      </c>
      <c r="O325" s="31" t="s">
        <v>485</v>
      </c>
      <c r="P325" s="31" t="s">
        <v>485</v>
      </c>
      <c r="Q325" s="31" t="s">
        <v>485</v>
      </c>
      <c r="R325" s="31" t="s">
        <v>485</v>
      </c>
      <c r="S325" s="33" t="s">
        <v>485</v>
      </c>
    </row>
    <row r="326" spans="1:19" s="15" customFormat="1" ht="25.5" customHeight="1" x14ac:dyDescent="0.2">
      <c r="A326" s="110" t="s">
        <v>505</v>
      </c>
      <c r="B326" s="111"/>
      <c r="C326" s="115" t="s">
        <v>500</v>
      </c>
      <c r="D326" s="116"/>
      <c r="E326" s="116"/>
      <c r="F326" s="116"/>
      <c r="G326" s="117"/>
      <c r="H326" s="29" t="s">
        <v>503</v>
      </c>
      <c r="I326" s="30" t="s">
        <v>480</v>
      </c>
      <c r="J326" s="31" t="s">
        <v>480</v>
      </c>
      <c r="K326" s="31" t="s">
        <v>480</v>
      </c>
      <c r="L326" s="31" t="s">
        <v>480</v>
      </c>
      <c r="M326" s="31" t="s">
        <v>480</v>
      </c>
      <c r="N326" s="31" t="s">
        <v>480</v>
      </c>
      <c r="O326" s="31" t="s">
        <v>480</v>
      </c>
      <c r="P326" s="31" t="s">
        <v>480</v>
      </c>
      <c r="Q326" s="31" t="s">
        <v>480</v>
      </c>
      <c r="R326" s="31" t="s">
        <v>480</v>
      </c>
      <c r="S326" s="33" t="s">
        <v>480</v>
      </c>
    </row>
    <row r="327" spans="1:19" s="15" customFormat="1" ht="25.5" customHeight="1" x14ac:dyDescent="0.2">
      <c r="A327" s="110" t="s">
        <v>506</v>
      </c>
      <c r="B327" s="111"/>
      <c r="C327" s="115" t="s">
        <v>509</v>
      </c>
      <c r="D327" s="116"/>
      <c r="E327" s="116"/>
      <c r="F327" s="116"/>
      <c r="G327" s="117"/>
      <c r="H327" s="29" t="s">
        <v>481</v>
      </c>
      <c r="I327" s="30" t="s">
        <v>480</v>
      </c>
      <c r="J327" s="31" t="s">
        <v>480</v>
      </c>
      <c r="K327" s="31" t="s">
        <v>480</v>
      </c>
      <c r="L327" s="31" t="s">
        <v>480</v>
      </c>
      <c r="M327" s="31" t="s">
        <v>480</v>
      </c>
      <c r="N327" s="31" t="s">
        <v>480</v>
      </c>
      <c r="O327" s="31" t="s">
        <v>480</v>
      </c>
      <c r="P327" s="31" t="s">
        <v>480</v>
      </c>
      <c r="Q327" s="31" t="s">
        <v>480</v>
      </c>
      <c r="R327" s="31" t="s">
        <v>480</v>
      </c>
      <c r="S327" s="33" t="s">
        <v>480</v>
      </c>
    </row>
    <row r="328" spans="1:19" s="15" customFormat="1" ht="25.5" customHeight="1" x14ac:dyDescent="0.2">
      <c r="A328" s="110" t="s">
        <v>507</v>
      </c>
      <c r="B328" s="111"/>
      <c r="C328" s="115" t="s">
        <v>501</v>
      </c>
      <c r="D328" s="116"/>
      <c r="E328" s="116"/>
      <c r="F328" s="116"/>
      <c r="G328" s="117"/>
      <c r="H328" s="29" t="s">
        <v>502</v>
      </c>
      <c r="I328" s="30" t="s">
        <v>480</v>
      </c>
      <c r="J328" s="31" t="s">
        <v>480</v>
      </c>
      <c r="K328" s="31" t="s">
        <v>480</v>
      </c>
      <c r="L328" s="31" t="s">
        <v>480</v>
      </c>
      <c r="M328" s="31" t="s">
        <v>480</v>
      </c>
      <c r="N328" s="31" t="s">
        <v>480</v>
      </c>
      <c r="O328" s="31" t="s">
        <v>480</v>
      </c>
      <c r="P328" s="31" t="s">
        <v>480</v>
      </c>
      <c r="Q328" s="31" t="s">
        <v>480</v>
      </c>
      <c r="R328" s="31" t="s">
        <v>480</v>
      </c>
      <c r="S328" s="33" t="s">
        <v>480</v>
      </c>
    </row>
    <row r="329" spans="1:19" s="15" customFormat="1" ht="25.5" customHeight="1" x14ac:dyDescent="0.2">
      <c r="A329" s="110" t="s">
        <v>510</v>
      </c>
      <c r="B329" s="111"/>
      <c r="C329" s="112" t="s">
        <v>513</v>
      </c>
      <c r="D329" s="113"/>
      <c r="E329" s="113"/>
      <c r="F329" s="113"/>
      <c r="G329" s="114"/>
      <c r="H329" s="29" t="s">
        <v>480</v>
      </c>
      <c r="I329" s="30" t="s">
        <v>485</v>
      </c>
      <c r="J329" s="31" t="s">
        <v>485</v>
      </c>
      <c r="K329" s="31" t="s">
        <v>485</v>
      </c>
      <c r="L329" s="31" t="s">
        <v>485</v>
      </c>
      <c r="M329" s="31" t="s">
        <v>485</v>
      </c>
      <c r="N329" s="31" t="s">
        <v>485</v>
      </c>
      <c r="O329" s="31" t="s">
        <v>485</v>
      </c>
      <c r="P329" s="31" t="s">
        <v>485</v>
      </c>
      <c r="Q329" s="31" t="s">
        <v>485</v>
      </c>
      <c r="R329" s="31" t="s">
        <v>485</v>
      </c>
      <c r="S329" s="33" t="s">
        <v>485</v>
      </c>
    </row>
    <row r="330" spans="1:19" s="15" customFormat="1" ht="25.5" customHeight="1" x14ac:dyDescent="0.2">
      <c r="A330" s="110" t="s">
        <v>511</v>
      </c>
      <c r="B330" s="111"/>
      <c r="C330" s="115" t="s">
        <v>500</v>
      </c>
      <c r="D330" s="116"/>
      <c r="E330" s="116"/>
      <c r="F330" s="116"/>
      <c r="G330" s="117"/>
      <c r="H330" s="29" t="s">
        <v>503</v>
      </c>
      <c r="I330" s="30" t="s">
        <v>480</v>
      </c>
      <c r="J330" s="31" t="s">
        <v>480</v>
      </c>
      <c r="K330" s="31" t="s">
        <v>480</v>
      </c>
      <c r="L330" s="31" t="s">
        <v>480</v>
      </c>
      <c r="M330" s="31" t="s">
        <v>480</v>
      </c>
      <c r="N330" s="31" t="s">
        <v>480</v>
      </c>
      <c r="O330" s="31" t="s">
        <v>480</v>
      </c>
      <c r="P330" s="31" t="s">
        <v>480</v>
      </c>
      <c r="Q330" s="31" t="s">
        <v>480</v>
      </c>
      <c r="R330" s="31" t="s">
        <v>480</v>
      </c>
      <c r="S330" s="33" t="s">
        <v>480</v>
      </c>
    </row>
    <row r="331" spans="1:19" s="15" customFormat="1" ht="25.5" customHeight="1" x14ac:dyDescent="0.2">
      <c r="A331" s="110" t="s">
        <v>512</v>
      </c>
      <c r="B331" s="111"/>
      <c r="C331" s="115" t="s">
        <v>501</v>
      </c>
      <c r="D331" s="116"/>
      <c r="E331" s="116"/>
      <c r="F331" s="116"/>
      <c r="G331" s="117"/>
      <c r="H331" s="29" t="s">
        <v>502</v>
      </c>
      <c r="I331" s="30" t="s">
        <v>480</v>
      </c>
      <c r="J331" s="31" t="s">
        <v>480</v>
      </c>
      <c r="K331" s="31" t="s">
        <v>480</v>
      </c>
      <c r="L331" s="31" t="s">
        <v>480</v>
      </c>
      <c r="M331" s="31" t="s">
        <v>480</v>
      </c>
      <c r="N331" s="31" t="s">
        <v>480</v>
      </c>
      <c r="O331" s="31" t="s">
        <v>480</v>
      </c>
      <c r="P331" s="31" t="s">
        <v>480</v>
      </c>
      <c r="Q331" s="31" t="s">
        <v>480</v>
      </c>
      <c r="R331" s="31" t="s">
        <v>480</v>
      </c>
      <c r="S331" s="33" t="s">
        <v>480</v>
      </c>
    </row>
    <row r="332" spans="1:19" s="15" customFormat="1" ht="25.5" customHeight="1" x14ac:dyDescent="0.2">
      <c r="A332" s="110" t="s">
        <v>514</v>
      </c>
      <c r="B332" s="111"/>
      <c r="C332" s="112" t="s">
        <v>677</v>
      </c>
      <c r="D332" s="113"/>
      <c r="E332" s="113"/>
      <c r="F332" s="113"/>
      <c r="G332" s="114"/>
      <c r="H332" s="29" t="s">
        <v>480</v>
      </c>
      <c r="I332" s="30" t="s">
        <v>485</v>
      </c>
      <c r="J332" s="31" t="s">
        <v>485</v>
      </c>
      <c r="K332" s="31" t="s">
        <v>485</v>
      </c>
      <c r="L332" s="31" t="s">
        <v>485</v>
      </c>
      <c r="M332" s="31" t="s">
        <v>485</v>
      </c>
      <c r="N332" s="31" t="s">
        <v>485</v>
      </c>
      <c r="O332" s="31" t="s">
        <v>485</v>
      </c>
      <c r="P332" s="31" t="s">
        <v>485</v>
      </c>
      <c r="Q332" s="31" t="s">
        <v>485</v>
      </c>
      <c r="R332" s="31" t="s">
        <v>485</v>
      </c>
      <c r="S332" s="33" t="s">
        <v>485</v>
      </c>
    </row>
    <row r="333" spans="1:19" s="15" customFormat="1" ht="25.5" customHeight="1" x14ac:dyDescent="0.2">
      <c r="A333" s="110" t="s">
        <v>515</v>
      </c>
      <c r="B333" s="111"/>
      <c r="C333" s="115" t="s">
        <v>500</v>
      </c>
      <c r="D333" s="116"/>
      <c r="E333" s="116"/>
      <c r="F333" s="116"/>
      <c r="G333" s="117"/>
      <c r="H333" s="29" t="s">
        <v>503</v>
      </c>
      <c r="I333" s="30" t="s">
        <v>480</v>
      </c>
      <c r="J333" s="31" t="s">
        <v>480</v>
      </c>
      <c r="K333" s="31" t="s">
        <v>480</v>
      </c>
      <c r="L333" s="31" t="s">
        <v>480</v>
      </c>
      <c r="M333" s="31" t="s">
        <v>480</v>
      </c>
      <c r="N333" s="31" t="s">
        <v>480</v>
      </c>
      <c r="O333" s="31" t="s">
        <v>480</v>
      </c>
      <c r="P333" s="31" t="s">
        <v>480</v>
      </c>
      <c r="Q333" s="31" t="s">
        <v>480</v>
      </c>
      <c r="R333" s="31" t="s">
        <v>480</v>
      </c>
      <c r="S333" s="33" t="s">
        <v>480</v>
      </c>
    </row>
    <row r="334" spans="1:19" s="15" customFormat="1" ht="25.5" customHeight="1" x14ac:dyDescent="0.2">
      <c r="A334" s="110" t="s">
        <v>516</v>
      </c>
      <c r="B334" s="111"/>
      <c r="C334" s="115" t="s">
        <v>509</v>
      </c>
      <c r="D334" s="116"/>
      <c r="E334" s="116"/>
      <c r="F334" s="116"/>
      <c r="G334" s="117"/>
      <c r="H334" s="29" t="s">
        <v>481</v>
      </c>
      <c r="I334" s="30" t="s">
        <v>480</v>
      </c>
      <c r="J334" s="31" t="s">
        <v>480</v>
      </c>
      <c r="K334" s="31" t="s">
        <v>480</v>
      </c>
      <c r="L334" s="31" t="s">
        <v>480</v>
      </c>
      <c r="M334" s="31" t="s">
        <v>480</v>
      </c>
      <c r="N334" s="31" t="s">
        <v>480</v>
      </c>
      <c r="O334" s="31" t="s">
        <v>480</v>
      </c>
      <c r="P334" s="31" t="s">
        <v>480</v>
      </c>
      <c r="Q334" s="31" t="s">
        <v>480</v>
      </c>
      <c r="R334" s="31" t="s">
        <v>480</v>
      </c>
      <c r="S334" s="33" t="s">
        <v>480</v>
      </c>
    </row>
    <row r="335" spans="1:19" s="15" customFormat="1" ht="25.5" customHeight="1" x14ac:dyDescent="0.2">
      <c r="A335" s="110" t="s">
        <v>517</v>
      </c>
      <c r="B335" s="111"/>
      <c r="C335" s="115" t="s">
        <v>501</v>
      </c>
      <c r="D335" s="116"/>
      <c r="E335" s="116"/>
      <c r="F335" s="116"/>
      <c r="G335" s="117"/>
      <c r="H335" s="29" t="s">
        <v>502</v>
      </c>
      <c r="I335" s="30" t="s">
        <v>480</v>
      </c>
      <c r="J335" s="31" t="s">
        <v>480</v>
      </c>
      <c r="K335" s="31" t="s">
        <v>480</v>
      </c>
      <c r="L335" s="31" t="s">
        <v>480</v>
      </c>
      <c r="M335" s="31" t="s">
        <v>480</v>
      </c>
      <c r="N335" s="31" t="s">
        <v>480</v>
      </c>
      <c r="O335" s="31" t="s">
        <v>480</v>
      </c>
      <c r="P335" s="31" t="s">
        <v>480</v>
      </c>
      <c r="Q335" s="31" t="s">
        <v>480</v>
      </c>
      <c r="R335" s="31" t="s">
        <v>480</v>
      </c>
      <c r="S335" s="33" t="s">
        <v>480</v>
      </c>
    </row>
    <row r="336" spans="1:19" s="15" customFormat="1" ht="25.5" customHeight="1" x14ac:dyDescent="0.2">
      <c r="A336" s="110" t="s">
        <v>518</v>
      </c>
      <c r="B336" s="111"/>
      <c r="C336" s="118" t="s">
        <v>519</v>
      </c>
      <c r="D336" s="119"/>
      <c r="E336" s="119"/>
      <c r="F336" s="119"/>
      <c r="G336" s="120"/>
      <c r="H336" s="29" t="s">
        <v>480</v>
      </c>
      <c r="I336" s="30" t="s">
        <v>485</v>
      </c>
      <c r="J336" s="31" t="s">
        <v>485</v>
      </c>
      <c r="K336" s="31" t="s">
        <v>485</v>
      </c>
      <c r="L336" s="31" t="s">
        <v>485</v>
      </c>
      <c r="M336" s="31" t="s">
        <v>485</v>
      </c>
      <c r="N336" s="31" t="s">
        <v>485</v>
      </c>
      <c r="O336" s="31" t="s">
        <v>485</v>
      </c>
      <c r="P336" s="31" t="s">
        <v>485</v>
      </c>
      <c r="Q336" s="31" t="s">
        <v>485</v>
      </c>
      <c r="R336" s="31" t="s">
        <v>485</v>
      </c>
      <c r="S336" s="33" t="s">
        <v>485</v>
      </c>
    </row>
    <row r="337" spans="1:19" s="15" customFormat="1" ht="25.5" customHeight="1" x14ac:dyDescent="0.2">
      <c r="A337" s="110" t="s">
        <v>520</v>
      </c>
      <c r="B337" s="111"/>
      <c r="C337" s="112" t="s">
        <v>530</v>
      </c>
      <c r="D337" s="113"/>
      <c r="E337" s="113"/>
      <c r="F337" s="113"/>
      <c r="G337" s="114"/>
      <c r="H337" s="29" t="s">
        <v>503</v>
      </c>
      <c r="I337" s="30" t="s">
        <v>480</v>
      </c>
      <c r="J337" s="31" t="s">
        <v>480</v>
      </c>
      <c r="K337" s="31" t="s">
        <v>480</v>
      </c>
      <c r="L337" s="31" t="s">
        <v>480</v>
      </c>
      <c r="M337" s="31" t="s">
        <v>480</v>
      </c>
      <c r="N337" s="31" t="s">
        <v>480</v>
      </c>
      <c r="O337" s="31" t="s">
        <v>480</v>
      </c>
      <c r="P337" s="31" t="s">
        <v>480</v>
      </c>
      <c r="Q337" s="31" t="s">
        <v>480</v>
      </c>
      <c r="R337" s="31" t="s">
        <v>480</v>
      </c>
      <c r="S337" s="33" t="s">
        <v>480</v>
      </c>
    </row>
    <row r="338" spans="1:19" s="15" customFormat="1" ht="25.5" customHeight="1" x14ac:dyDescent="0.2">
      <c r="A338" s="110" t="s">
        <v>521</v>
      </c>
      <c r="B338" s="111"/>
      <c r="C338" s="115" t="s">
        <v>531</v>
      </c>
      <c r="D338" s="116"/>
      <c r="E338" s="116"/>
      <c r="F338" s="116"/>
      <c r="G338" s="117"/>
      <c r="H338" s="29" t="s">
        <v>503</v>
      </c>
      <c r="I338" s="30" t="s">
        <v>480</v>
      </c>
      <c r="J338" s="31" t="s">
        <v>480</v>
      </c>
      <c r="K338" s="31" t="s">
        <v>480</v>
      </c>
      <c r="L338" s="31" t="s">
        <v>480</v>
      </c>
      <c r="M338" s="31" t="s">
        <v>480</v>
      </c>
      <c r="N338" s="31" t="s">
        <v>480</v>
      </c>
      <c r="O338" s="31" t="s">
        <v>480</v>
      </c>
      <c r="P338" s="31" t="s">
        <v>480</v>
      </c>
      <c r="Q338" s="31" t="s">
        <v>480</v>
      </c>
      <c r="R338" s="31" t="s">
        <v>480</v>
      </c>
      <c r="S338" s="33" t="s">
        <v>480</v>
      </c>
    </row>
    <row r="339" spans="1:19" s="15" customFormat="1" ht="25.5" customHeight="1" x14ac:dyDescent="0.2">
      <c r="A339" s="110" t="s">
        <v>532</v>
      </c>
      <c r="B339" s="111"/>
      <c r="C339" s="107" t="s">
        <v>534</v>
      </c>
      <c r="D339" s="108"/>
      <c r="E339" s="108"/>
      <c r="F339" s="108"/>
      <c r="G339" s="109"/>
      <c r="H339" s="29" t="s">
        <v>503</v>
      </c>
      <c r="I339" s="30" t="s">
        <v>480</v>
      </c>
      <c r="J339" s="31" t="s">
        <v>480</v>
      </c>
      <c r="K339" s="31" t="s">
        <v>480</v>
      </c>
      <c r="L339" s="31" t="s">
        <v>480</v>
      </c>
      <c r="M339" s="31" t="s">
        <v>480</v>
      </c>
      <c r="N339" s="31" t="s">
        <v>480</v>
      </c>
      <c r="O339" s="31" t="s">
        <v>480</v>
      </c>
      <c r="P339" s="31" t="s">
        <v>480</v>
      </c>
      <c r="Q339" s="31" t="s">
        <v>480</v>
      </c>
      <c r="R339" s="31" t="s">
        <v>480</v>
      </c>
      <c r="S339" s="33" t="s">
        <v>480</v>
      </c>
    </row>
    <row r="340" spans="1:19" s="15" customFormat="1" ht="25.5" customHeight="1" x14ac:dyDescent="0.2">
      <c r="A340" s="110" t="s">
        <v>533</v>
      </c>
      <c r="B340" s="111"/>
      <c r="C340" s="107" t="s">
        <v>535</v>
      </c>
      <c r="D340" s="108"/>
      <c r="E340" s="108"/>
      <c r="F340" s="108"/>
      <c r="G340" s="109"/>
      <c r="H340" s="29" t="s">
        <v>503</v>
      </c>
      <c r="I340" s="30" t="s">
        <v>480</v>
      </c>
      <c r="J340" s="31" t="s">
        <v>480</v>
      </c>
      <c r="K340" s="31" t="s">
        <v>480</v>
      </c>
      <c r="L340" s="31" t="s">
        <v>480</v>
      </c>
      <c r="M340" s="31" t="s">
        <v>480</v>
      </c>
      <c r="N340" s="31" t="s">
        <v>480</v>
      </c>
      <c r="O340" s="31" t="s">
        <v>480</v>
      </c>
      <c r="P340" s="31" t="s">
        <v>480</v>
      </c>
      <c r="Q340" s="31" t="s">
        <v>480</v>
      </c>
      <c r="R340" s="31" t="s">
        <v>480</v>
      </c>
      <c r="S340" s="33" t="s">
        <v>480</v>
      </c>
    </row>
    <row r="341" spans="1:19" s="15" customFormat="1" ht="25.5" customHeight="1" x14ac:dyDescent="0.2">
      <c r="A341" s="110" t="s">
        <v>522</v>
      </c>
      <c r="B341" s="111"/>
      <c r="C341" s="112" t="s">
        <v>536</v>
      </c>
      <c r="D341" s="113"/>
      <c r="E341" s="113"/>
      <c r="F341" s="113"/>
      <c r="G341" s="114"/>
      <c r="H341" s="29" t="s">
        <v>503</v>
      </c>
      <c r="I341" s="30" t="s">
        <v>480</v>
      </c>
      <c r="J341" s="31" t="s">
        <v>480</v>
      </c>
      <c r="K341" s="31" t="s">
        <v>480</v>
      </c>
      <c r="L341" s="31" t="s">
        <v>480</v>
      </c>
      <c r="M341" s="31" t="s">
        <v>480</v>
      </c>
      <c r="N341" s="31" t="s">
        <v>480</v>
      </c>
      <c r="O341" s="31" t="s">
        <v>480</v>
      </c>
      <c r="P341" s="31" t="s">
        <v>480</v>
      </c>
      <c r="Q341" s="31" t="s">
        <v>480</v>
      </c>
      <c r="R341" s="31" t="s">
        <v>480</v>
      </c>
      <c r="S341" s="33" t="s">
        <v>480</v>
      </c>
    </row>
    <row r="342" spans="1:19" s="15" customFormat="1" ht="25.5" customHeight="1" x14ac:dyDescent="0.2">
      <c r="A342" s="110" t="s">
        <v>523</v>
      </c>
      <c r="B342" s="111"/>
      <c r="C342" s="112" t="s">
        <v>537</v>
      </c>
      <c r="D342" s="113"/>
      <c r="E342" s="113"/>
      <c r="F342" s="113"/>
      <c r="G342" s="114"/>
      <c r="H342" s="29" t="s">
        <v>481</v>
      </c>
      <c r="I342" s="30" t="s">
        <v>480</v>
      </c>
      <c r="J342" s="31" t="s">
        <v>480</v>
      </c>
      <c r="K342" s="31" t="s">
        <v>480</v>
      </c>
      <c r="L342" s="31" t="s">
        <v>480</v>
      </c>
      <c r="M342" s="31" t="s">
        <v>480</v>
      </c>
      <c r="N342" s="31" t="s">
        <v>480</v>
      </c>
      <c r="O342" s="31" t="s">
        <v>480</v>
      </c>
      <c r="P342" s="31" t="s">
        <v>480</v>
      </c>
      <c r="Q342" s="31" t="s">
        <v>480</v>
      </c>
      <c r="R342" s="31" t="s">
        <v>480</v>
      </c>
      <c r="S342" s="33" t="s">
        <v>480</v>
      </c>
    </row>
    <row r="343" spans="1:19" s="15" customFormat="1" ht="35.25" customHeight="1" x14ac:dyDescent="0.2">
      <c r="A343" s="110" t="s">
        <v>524</v>
      </c>
      <c r="B343" s="111"/>
      <c r="C343" s="115" t="s">
        <v>538</v>
      </c>
      <c r="D343" s="116"/>
      <c r="E343" s="116"/>
      <c r="F343" s="116"/>
      <c r="G343" s="117"/>
      <c r="H343" s="29" t="s">
        <v>481</v>
      </c>
      <c r="I343" s="30" t="s">
        <v>480</v>
      </c>
      <c r="J343" s="31" t="s">
        <v>480</v>
      </c>
      <c r="K343" s="31" t="s">
        <v>480</v>
      </c>
      <c r="L343" s="31" t="s">
        <v>480</v>
      </c>
      <c r="M343" s="31" t="s">
        <v>480</v>
      </c>
      <c r="N343" s="31" t="s">
        <v>480</v>
      </c>
      <c r="O343" s="31" t="s">
        <v>480</v>
      </c>
      <c r="P343" s="31" t="s">
        <v>480</v>
      </c>
      <c r="Q343" s="31" t="s">
        <v>480</v>
      </c>
      <c r="R343" s="31" t="s">
        <v>480</v>
      </c>
      <c r="S343" s="33" t="s">
        <v>480</v>
      </c>
    </row>
    <row r="344" spans="1:19" s="15" customFormat="1" ht="25.5" customHeight="1" x14ac:dyDescent="0.2">
      <c r="A344" s="110" t="s">
        <v>525</v>
      </c>
      <c r="B344" s="111"/>
      <c r="C344" s="107" t="s">
        <v>534</v>
      </c>
      <c r="D344" s="108"/>
      <c r="E344" s="108"/>
      <c r="F344" s="108"/>
      <c r="G344" s="109"/>
      <c r="H344" s="29" t="s">
        <v>481</v>
      </c>
      <c r="I344" s="30" t="s">
        <v>480</v>
      </c>
      <c r="J344" s="31" t="s">
        <v>480</v>
      </c>
      <c r="K344" s="31" t="s">
        <v>480</v>
      </c>
      <c r="L344" s="31" t="s">
        <v>480</v>
      </c>
      <c r="M344" s="31" t="s">
        <v>480</v>
      </c>
      <c r="N344" s="31" t="s">
        <v>480</v>
      </c>
      <c r="O344" s="31" t="s">
        <v>480</v>
      </c>
      <c r="P344" s="31" t="s">
        <v>480</v>
      </c>
      <c r="Q344" s="31" t="s">
        <v>480</v>
      </c>
      <c r="R344" s="31" t="s">
        <v>480</v>
      </c>
      <c r="S344" s="33" t="s">
        <v>480</v>
      </c>
    </row>
    <row r="345" spans="1:19" s="15" customFormat="1" ht="25.5" customHeight="1" x14ac:dyDescent="0.2">
      <c r="A345" s="110" t="s">
        <v>526</v>
      </c>
      <c r="B345" s="111"/>
      <c r="C345" s="107" t="s">
        <v>535</v>
      </c>
      <c r="D345" s="108"/>
      <c r="E345" s="108"/>
      <c r="F345" s="108"/>
      <c r="G345" s="109"/>
      <c r="H345" s="29" t="s">
        <v>481</v>
      </c>
      <c r="I345" s="30" t="s">
        <v>480</v>
      </c>
      <c r="J345" s="31" t="s">
        <v>480</v>
      </c>
      <c r="K345" s="31" t="s">
        <v>480</v>
      </c>
      <c r="L345" s="31" t="s">
        <v>480</v>
      </c>
      <c r="M345" s="31" t="s">
        <v>480</v>
      </c>
      <c r="N345" s="31" t="s">
        <v>480</v>
      </c>
      <c r="O345" s="31" t="s">
        <v>480</v>
      </c>
      <c r="P345" s="31" t="s">
        <v>480</v>
      </c>
      <c r="Q345" s="31" t="s">
        <v>480</v>
      </c>
      <c r="R345" s="31" t="s">
        <v>480</v>
      </c>
      <c r="S345" s="33" t="s">
        <v>480</v>
      </c>
    </row>
    <row r="346" spans="1:19" s="15" customFormat="1" ht="25.5" customHeight="1" x14ac:dyDescent="0.2">
      <c r="A346" s="110" t="s">
        <v>527</v>
      </c>
      <c r="B346" s="111"/>
      <c r="C346" s="112" t="s">
        <v>539</v>
      </c>
      <c r="D346" s="113"/>
      <c r="E346" s="113"/>
      <c r="F346" s="113"/>
      <c r="G346" s="114"/>
      <c r="H346" s="29" t="s">
        <v>529</v>
      </c>
      <c r="I346" s="30" t="s">
        <v>480</v>
      </c>
      <c r="J346" s="31" t="s">
        <v>480</v>
      </c>
      <c r="K346" s="31" t="s">
        <v>480</v>
      </c>
      <c r="L346" s="31" t="s">
        <v>480</v>
      </c>
      <c r="M346" s="31" t="s">
        <v>480</v>
      </c>
      <c r="N346" s="31" t="s">
        <v>480</v>
      </c>
      <c r="O346" s="31" t="s">
        <v>480</v>
      </c>
      <c r="P346" s="31" t="s">
        <v>480</v>
      </c>
      <c r="Q346" s="31" t="s">
        <v>480</v>
      </c>
      <c r="R346" s="31" t="s">
        <v>480</v>
      </c>
      <c r="S346" s="33" t="s">
        <v>480</v>
      </c>
    </row>
    <row r="347" spans="1:19" s="15" customFormat="1" ht="35.25" customHeight="1" x14ac:dyDescent="0.2">
      <c r="A347" s="110" t="s">
        <v>528</v>
      </c>
      <c r="B347" s="111"/>
      <c r="C347" s="112" t="s">
        <v>678</v>
      </c>
      <c r="D347" s="113"/>
      <c r="E347" s="113"/>
      <c r="F347" s="113"/>
      <c r="G347" s="114"/>
      <c r="H347" s="29" t="s">
        <v>3</v>
      </c>
      <c r="I347" s="30" t="s">
        <v>480</v>
      </c>
      <c r="J347" s="31" t="s">
        <v>480</v>
      </c>
      <c r="K347" s="31" t="s">
        <v>480</v>
      </c>
      <c r="L347" s="31" t="s">
        <v>480</v>
      </c>
      <c r="M347" s="31" t="s">
        <v>480</v>
      </c>
      <c r="N347" s="31" t="s">
        <v>480</v>
      </c>
      <c r="O347" s="31" t="s">
        <v>480</v>
      </c>
      <c r="P347" s="31" t="s">
        <v>480</v>
      </c>
      <c r="Q347" s="31" t="s">
        <v>480</v>
      </c>
      <c r="R347" s="31" t="s">
        <v>480</v>
      </c>
      <c r="S347" s="33" t="s">
        <v>480</v>
      </c>
    </row>
    <row r="348" spans="1:19" s="15" customFormat="1" ht="25.5" customHeight="1" x14ac:dyDescent="0.2">
      <c r="A348" s="110" t="s">
        <v>540</v>
      </c>
      <c r="B348" s="111"/>
      <c r="C348" s="118" t="s">
        <v>544</v>
      </c>
      <c r="D348" s="119"/>
      <c r="E348" s="119"/>
      <c r="F348" s="119"/>
      <c r="G348" s="120"/>
      <c r="H348" s="29" t="s">
        <v>480</v>
      </c>
      <c r="I348" s="30" t="s">
        <v>485</v>
      </c>
      <c r="J348" s="31" t="s">
        <v>485</v>
      </c>
      <c r="K348" s="31" t="s">
        <v>485</v>
      </c>
      <c r="L348" s="31" t="s">
        <v>485</v>
      </c>
      <c r="M348" s="31" t="s">
        <v>485</v>
      </c>
      <c r="N348" s="31" t="s">
        <v>485</v>
      </c>
      <c r="O348" s="31" t="s">
        <v>485</v>
      </c>
      <c r="P348" s="31" t="s">
        <v>485</v>
      </c>
      <c r="Q348" s="31" t="s">
        <v>485</v>
      </c>
      <c r="R348" s="31" t="s">
        <v>485</v>
      </c>
      <c r="S348" s="33" t="s">
        <v>485</v>
      </c>
    </row>
    <row r="349" spans="1:19" s="15" customFormat="1" ht="25.5" customHeight="1" x14ac:dyDescent="0.2">
      <c r="A349" s="110" t="s">
        <v>541</v>
      </c>
      <c r="B349" s="111"/>
      <c r="C349" s="112" t="s">
        <v>545</v>
      </c>
      <c r="D349" s="113"/>
      <c r="E349" s="113"/>
      <c r="F349" s="113"/>
      <c r="G349" s="114"/>
      <c r="H349" s="29" t="s">
        <v>503</v>
      </c>
      <c r="I349" s="30">
        <v>1468.46</v>
      </c>
      <c r="J349" s="31">
        <v>1486.18</v>
      </c>
      <c r="K349" s="31">
        <v>1491.673</v>
      </c>
      <c r="L349" s="31" t="s">
        <v>480</v>
      </c>
      <c r="M349" s="31">
        <v>1499.973</v>
      </c>
      <c r="N349" s="31" t="s">
        <v>480</v>
      </c>
      <c r="O349" s="31">
        <f>M349*1.015</f>
        <v>1522.4725949999997</v>
      </c>
      <c r="P349" s="31" t="s">
        <v>480</v>
      </c>
      <c r="Q349" s="31">
        <f>O349*1.015</f>
        <v>1545.3096839249995</v>
      </c>
      <c r="R349" s="31" t="s">
        <v>480</v>
      </c>
      <c r="S349" s="33">
        <f>M349+O349+Q349</f>
        <v>4567.7552789249994</v>
      </c>
    </row>
    <row r="350" spans="1:19" s="15" customFormat="1" ht="25.5" customHeight="1" x14ac:dyDescent="0.2">
      <c r="A350" s="110" t="s">
        <v>542</v>
      </c>
      <c r="B350" s="111"/>
      <c r="C350" s="112" t="s">
        <v>547</v>
      </c>
      <c r="D350" s="113"/>
      <c r="E350" s="113"/>
      <c r="F350" s="113"/>
      <c r="G350" s="114"/>
      <c r="H350" s="29" t="s">
        <v>482</v>
      </c>
      <c r="I350" s="30" t="s">
        <v>480</v>
      </c>
      <c r="J350" s="31" t="s">
        <v>480</v>
      </c>
      <c r="K350" s="31" t="s">
        <v>480</v>
      </c>
      <c r="L350" s="31" t="s">
        <v>480</v>
      </c>
      <c r="M350" s="31" t="s">
        <v>480</v>
      </c>
      <c r="N350" s="31" t="s">
        <v>480</v>
      </c>
      <c r="O350" s="31" t="s">
        <v>480</v>
      </c>
      <c r="P350" s="31" t="s">
        <v>480</v>
      </c>
      <c r="Q350" s="31" t="s">
        <v>480</v>
      </c>
      <c r="R350" s="31" t="s">
        <v>480</v>
      </c>
      <c r="S350" s="33" t="s">
        <v>480</v>
      </c>
    </row>
    <row r="351" spans="1:19" s="15" customFormat="1" ht="25.5" customHeight="1" x14ac:dyDescent="0.2">
      <c r="A351" s="110" t="s">
        <v>543</v>
      </c>
      <c r="B351" s="111"/>
      <c r="C351" s="112" t="s">
        <v>548</v>
      </c>
      <c r="D351" s="113"/>
      <c r="E351" s="113"/>
      <c r="F351" s="113"/>
      <c r="G351" s="114"/>
      <c r="H351" s="29" t="s">
        <v>3</v>
      </c>
      <c r="I351" s="30">
        <v>326.10899999999998</v>
      </c>
      <c r="J351" s="31">
        <v>486.09300000000002</v>
      </c>
      <c r="K351" s="31">
        <v>622.077</v>
      </c>
      <c r="L351" s="31" t="s">
        <v>480</v>
      </c>
      <c r="M351" s="31">
        <f>K351*1.037+'[6]Формат ИПР'!$BW$49</f>
        <v>706.61039195199999</v>
      </c>
      <c r="N351" s="31" t="s">
        <v>480</v>
      </c>
      <c r="O351" s="31">
        <f>K351*1.037*1.04+'[6]Формат ИПР'!$BY$49</f>
        <v>731.61976956223998</v>
      </c>
      <c r="P351" s="31" t="s">
        <v>480</v>
      </c>
      <c r="Q351" s="31">
        <f>K351*1.037*1.04*1.04+'[6]Формат ИПР'!$CA$49</f>
        <v>767.22018604337757</v>
      </c>
      <c r="R351" s="31" t="s">
        <v>480</v>
      </c>
      <c r="S351" s="33">
        <f>M351+O351+Q351</f>
        <v>2205.4503475576175</v>
      </c>
    </row>
    <row r="352" spans="1:19" s="15" customFormat="1" ht="25.5" customHeight="1" x14ac:dyDescent="0.2">
      <c r="A352" s="110" t="s">
        <v>546</v>
      </c>
      <c r="B352" s="111"/>
      <c r="C352" s="112" t="s">
        <v>549</v>
      </c>
      <c r="D352" s="113"/>
      <c r="E352" s="113"/>
      <c r="F352" s="113"/>
      <c r="G352" s="114"/>
      <c r="H352" s="29" t="s">
        <v>3</v>
      </c>
      <c r="I352" s="30" t="s">
        <v>480</v>
      </c>
      <c r="J352" s="31" t="s">
        <v>480</v>
      </c>
      <c r="K352" s="31" t="s">
        <v>480</v>
      </c>
      <c r="L352" s="31" t="s">
        <v>480</v>
      </c>
      <c r="M352" s="31" t="s">
        <v>480</v>
      </c>
      <c r="N352" s="31" t="s">
        <v>480</v>
      </c>
      <c r="O352" s="31" t="s">
        <v>480</v>
      </c>
      <c r="P352" s="31" t="s">
        <v>480</v>
      </c>
      <c r="Q352" s="31" t="s">
        <v>480</v>
      </c>
      <c r="R352" s="31" t="s">
        <v>480</v>
      </c>
      <c r="S352" s="33" t="s">
        <v>480</v>
      </c>
    </row>
    <row r="353" spans="1:19" s="15" customFormat="1" ht="25.5" customHeight="1" x14ac:dyDescent="0.2">
      <c r="A353" s="110" t="s">
        <v>550</v>
      </c>
      <c r="B353" s="111"/>
      <c r="C353" s="118" t="s">
        <v>551</v>
      </c>
      <c r="D353" s="119"/>
      <c r="E353" s="119"/>
      <c r="F353" s="119"/>
      <c r="G353" s="120"/>
      <c r="H353" s="29" t="s">
        <v>480</v>
      </c>
      <c r="I353" s="30" t="s">
        <v>485</v>
      </c>
      <c r="J353" s="31" t="s">
        <v>485</v>
      </c>
      <c r="K353" s="31" t="s">
        <v>485</v>
      </c>
      <c r="L353" s="31" t="s">
        <v>485</v>
      </c>
      <c r="M353" s="31" t="s">
        <v>485</v>
      </c>
      <c r="N353" s="31" t="s">
        <v>485</v>
      </c>
      <c r="O353" s="31" t="s">
        <v>485</v>
      </c>
      <c r="P353" s="31" t="s">
        <v>485</v>
      </c>
      <c r="Q353" s="31" t="s">
        <v>485</v>
      </c>
      <c r="R353" s="31" t="s">
        <v>485</v>
      </c>
      <c r="S353" s="33" t="s">
        <v>485</v>
      </c>
    </row>
    <row r="354" spans="1:19" s="15" customFormat="1" ht="25.5" customHeight="1" x14ac:dyDescent="0.2">
      <c r="A354" s="110" t="s">
        <v>552</v>
      </c>
      <c r="B354" s="111"/>
      <c r="C354" s="112" t="s">
        <v>556</v>
      </c>
      <c r="D354" s="113"/>
      <c r="E354" s="113"/>
      <c r="F354" s="113"/>
      <c r="G354" s="114"/>
      <c r="H354" s="29" t="s">
        <v>481</v>
      </c>
      <c r="I354" s="30" t="s">
        <v>480</v>
      </c>
      <c r="J354" s="31" t="s">
        <v>480</v>
      </c>
      <c r="K354" s="31" t="s">
        <v>480</v>
      </c>
      <c r="L354" s="31" t="s">
        <v>480</v>
      </c>
      <c r="M354" s="31" t="s">
        <v>480</v>
      </c>
      <c r="N354" s="31" t="s">
        <v>480</v>
      </c>
      <c r="O354" s="31" t="s">
        <v>480</v>
      </c>
      <c r="P354" s="31" t="s">
        <v>480</v>
      </c>
      <c r="Q354" s="31" t="s">
        <v>480</v>
      </c>
      <c r="R354" s="31" t="s">
        <v>480</v>
      </c>
      <c r="S354" s="33" t="s">
        <v>480</v>
      </c>
    </row>
    <row r="355" spans="1:19" s="15" customFormat="1" ht="25.5" customHeight="1" x14ac:dyDescent="0.2">
      <c r="A355" s="110" t="s">
        <v>553</v>
      </c>
      <c r="B355" s="111"/>
      <c r="C355" s="115" t="s">
        <v>557</v>
      </c>
      <c r="D355" s="116"/>
      <c r="E355" s="116"/>
      <c r="F355" s="116"/>
      <c r="G355" s="117"/>
      <c r="H355" s="29" t="s">
        <v>481</v>
      </c>
      <c r="I355" s="30" t="s">
        <v>480</v>
      </c>
      <c r="J355" s="31" t="s">
        <v>480</v>
      </c>
      <c r="K355" s="31" t="s">
        <v>480</v>
      </c>
      <c r="L355" s="31" t="s">
        <v>480</v>
      </c>
      <c r="M355" s="31" t="s">
        <v>480</v>
      </c>
      <c r="N355" s="31" t="s">
        <v>480</v>
      </c>
      <c r="O355" s="31" t="s">
        <v>480</v>
      </c>
      <c r="P355" s="31" t="s">
        <v>480</v>
      </c>
      <c r="Q355" s="31" t="s">
        <v>480</v>
      </c>
      <c r="R355" s="31" t="s">
        <v>480</v>
      </c>
      <c r="S355" s="33" t="s">
        <v>480</v>
      </c>
    </row>
    <row r="356" spans="1:19" s="15" customFormat="1" ht="25.5" customHeight="1" x14ac:dyDescent="0.2">
      <c r="A356" s="110" t="s">
        <v>554</v>
      </c>
      <c r="B356" s="111"/>
      <c r="C356" s="115" t="s">
        <v>558</v>
      </c>
      <c r="D356" s="116"/>
      <c r="E356" s="116"/>
      <c r="F356" s="116"/>
      <c r="G356" s="117"/>
      <c r="H356" s="29" t="s">
        <v>481</v>
      </c>
      <c r="I356" s="30" t="s">
        <v>480</v>
      </c>
      <c r="J356" s="31" t="s">
        <v>480</v>
      </c>
      <c r="K356" s="31" t="s">
        <v>480</v>
      </c>
      <c r="L356" s="31" t="s">
        <v>480</v>
      </c>
      <c r="M356" s="31" t="s">
        <v>480</v>
      </c>
      <c r="N356" s="31" t="s">
        <v>480</v>
      </c>
      <c r="O356" s="31" t="s">
        <v>480</v>
      </c>
      <c r="P356" s="31" t="s">
        <v>480</v>
      </c>
      <c r="Q356" s="31" t="s">
        <v>480</v>
      </c>
      <c r="R356" s="31" t="s">
        <v>480</v>
      </c>
      <c r="S356" s="33" t="s">
        <v>480</v>
      </c>
    </row>
    <row r="357" spans="1:19" s="15" customFormat="1" ht="25.5" customHeight="1" x14ac:dyDescent="0.2">
      <c r="A357" s="110" t="s">
        <v>555</v>
      </c>
      <c r="B357" s="111"/>
      <c r="C357" s="115" t="s">
        <v>559</v>
      </c>
      <c r="D357" s="116"/>
      <c r="E357" s="116"/>
      <c r="F357" s="116"/>
      <c r="G357" s="117"/>
      <c r="H357" s="29" t="s">
        <v>481</v>
      </c>
      <c r="I357" s="30" t="s">
        <v>480</v>
      </c>
      <c r="J357" s="31" t="s">
        <v>480</v>
      </c>
      <c r="K357" s="31" t="s">
        <v>480</v>
      </c>
      <c r="L357" s="31" t="s">
        <v>480</v>
      </c>
      <c r="M357" s="31" t="s">
        <v>480</v>
      </c>
      <c r="N357" s="31" t="s">
        <v>480</v>
      </c>
      <c r="O357" s="31" t="s">
        <v>480</v>
      </c>
      <c r="P357" s="31" t="s">
        <v>480</v>
      </c>
      <c r="Q357" s="31" t="s">
        <v>480</v>
      </c>
      <c r="R357" s="31" t="s">
        <v>480</v>
      </c>
      <c r="S357" s="33" t="s">
        <v>480</v>
      </c>
    </row>
    <row r="358" spans="1:19" s="15" customFormat="1" ht="25.5" customHeight="1" x14ac:dyDescent="0.2">
      <c r="A358" s="110" t="s">
        <v>560</v>
      </c>
      <c r="B358" s="111"/>
      <c r="C358" s="112" t="s">
        <v>568</v>
      </c>
      <c r="D358" s="113"/>
      <c r="E358" s="113"/>
      <c r="F358" s="113"/>
      <c r="G358" s="114"/>
      <c r="H358" s="29" t="s">
        <v>503</v>
      </c>
      <c r="I358" s="30" t="s">
        <v>480</v>
      </c>
      <c r="J358" s="31" t="s">
        <v>480</v>
      </c>
      <c r="K358" s="31" t="s">
        <v>480</v>
      </c>
      <c r="L358" s="31" t="s">
        <v>480</v>
      </c>
      <c r="M358" s="31" t="s">
        <v>480</v>
      </c>
      <c r="N358" s="31" t="s">
        <v>480</v>
      </c>
      <c r="O358" s="31" t="s">
        <v>480</v>
      </c>
      <c r="P358" s="31" t="s">
        <v>480</v>
      </c>
      <c r="Q358" s="31" t="s">
        <v>480</v>
      </c>
      <c r="R358" s="31" t="s">
        <v>480</v>
      </c>
      <c r="S358" s="33" t="s">
        <v>480</v>
      </c>
    </row>
    <row r="359" spans="1:19" s="15" customFormat="1" ht="25.5" customHeight="1" x14ac:dyDescent="0.2">
      <c r="A359" s="110" t="s">
        <v>561</v>
      </c>
      <c r="B359" s="111"/>
      <c r="C359" s="115" t="s">
        <v>679</v>
      </c>
      <c r="D359" s="116"/>
      <c r="E359" s="116"/>
      <c r="F359" s="116"/>
      <c r="G359" s="117"/>
      <c r="H359" s="29" t="s">
        <v>503</v>
      </c>
      <c r="I359" s="30" t="s">
        <v>480</v>
      </c>
      <c r="J359" s="31" t="s">
        <v>480</v>
      </c>
      <c r="K359" s="31" t="s">
        <v>480</v>
      </c>
      <c r="L359" s="31" t="s">
        <v>480</v>
      </c>
      <c r="M359" s="31" t="s">
        <v>480</v>
      </c>
      <c r="N359" s="31" t="s">
        <v>480</v>
      </c>
      <c r="O359" s="31" t="s">
        <v>480</v>
      </c>
      <c r="P359" s="31" t="s">
        <v>480</v>
      </c>
      <c r="Q359" s="31" t="s">
        <v>480</v>
      </c>
      <c r="R359" s="31" t="s">
        <v>480</v>
      </c>
      <c r="S359" s="33" t="s">
        <v>480</v>
      </c>
    </row>
    <row r="360" spans="1:19" s="15" customFormat="1" ht="25.5" customHeight="1" x14ac:dyDescent="0.2">
      <c r="A360" s="110" t="s">
        <v>562</v>
      </c>
      <c r="B360" s="111"/>
      <c r="C360" s="115" t="s">
        <v>569</v>
      </c>
      <c r="D360" s="116"/>
      <c r="E360" s="116"/>
      <c r="F360" s="116"/>
      <c r="G360" s="117"/>
      <c r="H360" s="29" t="s">
        <v>503</v>
      </c>
      <c r="I360" s="30" t="s">
        <v>480</v>
      </c>
      <c r="J360" s="31" t="s">
        <v>480</v>
      </c>
      <c r="K360" s="31" t="s">
        <v>480</v>
      </c>
      <c r="L360" s="31" t="s">
        <v>480</v>
      </c>
      <c r="M360" s="31" t="s">
        <v>480</v>
      </c>
      <c r="N360" s="31" t="s">
        <v>480</v>
      </c>
      <c r="O360" s="31" t="s">
        <v>480</v>
      </c>
      <c r="P360" s="31" t="s">
        <v>480</v>
      </c>
      <c r="Q360" s="31" t="s">
        <v>480</v>
      </c>
      <c r="R360" s="31" t="s">
        <v>480</v>
      </c>
      <c r="S360" s="33" t="s">
        <v>480</v>
      </c>
    </row>
    <row r="361" spans="1:19" s="15" customFormat="1" ht="25.5" customHeight="1" x14ac:dyDescent="0.2">
      <c r="A361" s="110" t="s">
        <v>563</v>
      </c>
      <c r="B361" s="111"/>
      <c r="C361" s="112" t="s">
        <v>682</v>
      </c>
      <c r="D361" s="113"/>
      <c r="E361" s="113"/>
      <c r="F361" s="113"/>
      <c r="G361" s="114"/>
      <c r="H361" s="29" t="s">
        <v>3</v>
      </c>
      <c r="I361" s="30" t="s">
        <v>480</v>
      </c>
      <c r="J361" s="31" t="s">
        <v>480</v>
      </c>
      <c r="K361" s="31" t="s">
        <v>480</v>
      </c>
      <c r="L361" s="31" t="s">
        <v>480</v>
      </c>
      <c r="M361" s="31" t="s">
        <v>480</v>
      </c>
      <c r="N361" s="31" t="s">
        <v>480</v>
      </c>
      <c r="O361" s="31" t="s">
        <v>480</v>
      </c>
      <c r="P361" s="31" t="s">
        <v>480</v>
      </c>
      <c r="Q361" s="31" t="s">
        <v>480</v>
      </c>
      <c r="R361" s="31" t="s">
        <v>480</v>
      </c>
      <c r="S361" s="33" t="s">
        <v>480</v>
      </c>
    </row>
    <row r="362" spans="1:19" s="15" customFormat="1" ht="25.5" customHeight="1" x14ac:dyDescent="0.2">
      <c r="A362" s="110" t="s">
        <v>564</v>
      </c>
      <c r="B362" s="111"/>
      <c r="C362" s="115" t="s">
        <v>83</v>
      </c>
      <c r="D362" s="116"/>
      <c r="E362" s="116"/>
      <c r="F362" s="116"/>
      <c r="G362" s="117"/>
      <c r="H362" s="29" t="s">
        <v>3</v>
      </c>
      <c r="I362" s="30" t="s">
        <v>480</v>
      </c>
      <c r="J362" s="31" t="s">
        <v>480</v>
      </c>
      <c r="K362" s="31" t="s">
        <v>480</v>
      </c>
      <c r="L362" s="31" t="s">
        <v>480</v>
      </c>
      <c r="M362" s="31" t="s">
        <v>480</v>
      </c>
      <c r="N362" s="31" t="s">
        <v>480</v>
      </c>
      <c r="O362" s="31" t="s">
        <v>480</v>
      </c>
      <c r="P362" s="31" t="s">
        <v>480</v>
      </c>
      <c r="Q362" s="31" t="s">
        <v>480</v>
      </c>
      <c r="R362" s="31" t="s">
        <v>480</v>
      </c>
      <c r="S362" s="33" t="s">
        <v>480</v>
      </c>
    </row>
    <row r="363" spans="1:19" s="15" customFormat="1" ht="25.5" customHeight="1" x14ac:dyDescent="0.2">
      <c r="A363" s="110" t="s">
        <v>565</v>
      </c>
      <c r="B363" s="111"/>
      <c r="C363" s="115" t="s">
        <v>84</v>
      </c>
      <c r="D363" s="116"/>
      <c r="E363" s="116"/>
      <c r="F363" s="116"/>
      <c r="G363" s="117"/>
      <c r="H363" s="29" t="s">
        <v>3</v>
      </c>
      <c r="I363" s="30" t="s">
        <v>480</v>
      </c>
      <c r="J363" s="31" t="s">
        <v>480</v>
      </c>
      <c r="K363" s="31" t="s">
        <v>480</v>
      </c>
      <c r="L363" s="31" t="s">
        <v>480</v>
      </c>
      <c r="M363" s="31" t="s">
        <v>480</v>
      </c>
      <c r="N363" s="31" t="s">
        <v>480</v>
      </c>
      <c r="O363" s="31" t="s">
        <v>480</v>
      </c>
      <c r="P363" s="31" t="s">
        <v>480</v>
      </c>
      <c r="Q363" s="31" t="s">
        <v>480</v>
      </c>
      <c r="R363" s="31" t="s">
        <v>480</v>
      </c>
      <c r="S363" s="33" t="s">
        <v>480</v>
      </c>
    </row>
    <row r="364" spans="1:19" s="15" customFormat="1" ht="25.5" customHeight="1" thickBot="1" x14ac:dyDescent="0.25">
      <c r="A364" s="158" t="s">
        <v>566</v>
      </c>
      <c r="B364" s="159"/>
      <c r="C364" s="142" t="s">
        <v>570</v>
      </c>
      <c r="D364" s="143"/>
      <c r="E364" s="143"/>
      <c r="F364" s="143"/>
      <c r="G364" s="144"/>
      <c r="H364" s="34" t="s">
        <v>567</v>
      </c>
      <c r="I364" s="56">
        <v>448</v>
      </c>
      <c r="J364" s="57">
        <v>447</v>
      </c>
      <c r="K364" s="57">
        <v>457</v>
      </c>
      <c r="L364" s="57" t="s">
        <v>480</v>
      </c>
      <c r="M364" s="57">
        <f>K364</f>
        <v>457</v>
      </c>
      <c r="N364" s="57" t="s">
        <v>480</v>
      </c>
      <c r="O364" s="57">
        <f>M364</f>
        <v>457</v>
      </c>
      <c r="P364" s="57" t="s">
        <v>480</v>
      </c>
      <c r="Q364" s="57">
        <f>O364</f>
        <v>457</v>
      </c>
      <c r="R364" s="57" t="s">
        <v>480</v>
      </c>
      <c r="S364" s="58" t="s">
        <v>480</v>
      </c>
    </row>
    <row r="365" spans="1:19" s="15" customFormat="1" ht="13.5" customHeight="1" thickBot="1" x14ac:dyDescent="0.25">
      <c r="A365" s="145" t="s">
        <v>571</v>
      </c>
      <c r="B365" s="146"/>
      <c r="C365" s="146"/>
      <c r="D365" s="146"/>
      <c r="E365" s="146"/>
      <c r="F365" s="146"/>
      <c r="G365" s="146"/>
      <c r="H365" s="146"/>
      <c r="I365" s="146"/>
      <c r="J365" s="146"/>
      <c r="K365" s="146"/>
      <c r="L365" s="146"/>
      <c r="M365" s="146"/>
      <c r="N365" s="146"/>
      <c r="O365" s="146"/>
      <c r="P365" s="146"/>
      <c r="Q365" s="146"/>
      <c r="R365" s="146"/>
      <c r="S365" s="147"/>
    </row>
    <row r="366" spans="1:19" ht="18" customHeight="1" x14ac:dyDescent="0.2">
      <c r="A366" s="148" t="s">
        <v>4</v>
      </c>
      <c r="B366" s="149"/>
      <c r="C366" s="152" t="s">
        <v>5</v>
      </c>
      <c r="D366" s="153"/>
      <c r="E366" s="153"/>
      <c r="F366" s="153"/>
      <c r="G366" s="149"/>
      <c r="H366" s="156" t="s">
        <v>1</v>
      </c>
      <c r="I366" s="59" t="s">
        <v>692</v>
      </c>
      <c r="J366" s="60" t="s">
        <v>693</v>
      </c>
      <c r="K366" s="60" t="s">
        <v>691</v>
      </c>
      <c r="L366" s="160" t="s">
        <v>688</v>
      </c>
      <c r="M366" s="162"/>
      <c r="N366" s="160" t="s">
        <v>689</v>
      </c>
      <c r="O366" s="162"/>
      <c r="P366" s="160" t="s">
        <v>690</v>
      </c>
      <c r="Q366" s="162"/>
      <c r="R366" s="160" t="s">
        <v>6</v>
      </c>
      <c r="S366" s="161"/>
    </row>
    <row r="367" spans="1:19" ht="32.25" customHeight="1" x14ac:dyDescent="0.2">
      <c r="A367" s="150"/>
      <c r="B367" s="151"/>
      <c r="C367" s="154"/>
      <c r="D367" s="155"/>
      <c r="E367" s="155"/>
      <c r="F367" s="155"/>
      <c r="G367" s="151"/>
      <c r="H367" s="157"/>
      <c r="I367" s="61" t="s">
        <v>2</v>
      </c>
      <c r="J367" s="62" t="s">
        <v>695</v>
      </c>
      <c r="K367" s="62" t="s">
        <v>695</v>
      </c>
      <c r="L367" s="62" t="s">
        <v>705</v>
      </c>
      <c r="M367" s="62" t="s">
        <v>7</v>
      </c>
      <c r="N367" s="62" t="s">
        <v>705</v>
      </c>
      <c r="O367" s="62" t="s">
        <v>7</v>
      </c>
      <c r="P367" s="62" t="s">
        <v>705</v>
      </c>
      <c r="Q367" s="62" t="s">
        <v>7</v>
      </c>
      <c r="R367" s="62" t="s">
        <v>705</v>
      </c>
      <c r="S367" s="63" t="s">
        <v>7</v>
      </c>
    </row>
    <row r="368" spans="1:19" s="22" customFormat="1" ht="12.75" thickBot="1" x14ac:dyDescent="0.25">
      <c r="A368" s="140">
        <v>1</v>
      </c>
      <c r="B368" s="141"/>
      <c r="C368" s="175">
        <v>2</v>
      </c>
      <c r="D368" s="176"/>
      <c r="E368" s="176"/>
      <c r="F368" s="176"/>
      <c r="G368" s="141"/>
      <c r="H368" s="19">
        <v>3</v>
      </c>
      <c r="I368" s="20">
        <v>4</v>
      </c>
      <c r="J368" s="21">
        <v>5</v>
      </c>
      <c r="K368" s="21">
        <v>6</v>
      </c>
      <c r="L368" s="21">
        <v>7</v>
      </c>
      <c r="M368" s="21">
        <v>8</v>
      </c>
      <c r="N368" s="21">
        <v>9</v>
      </c>
      <c r="O368" s="21">
        <v>10</v>
      </c>
      <c r="P368" s="21">
        <v>11</v>
      </c>
      <c r="Q368" s="21">
        <v>12</v>
      </c>
      <c r="R368" s="21">
        <v>13</v>
      </c>
      <c r="S368" s="19">
        <v>14</v>
      </c>
    </row>
    <row r="369" spans="1:19" s="15" customFormat="1" ht="12" customHeight="1" x14ac:dyDescent="0.2">
      <c r="A369" s="172" t="s">
        <v>572</v>
      </c>
      <c r="B369" s="173"/>
      <c r="C369" s="173"/>
      <c r="D369" s="173"/>
      <c r="E369" s="173"/>
      <c r="F369" s="173"/>
      <c r="G369" s="174"/>
      <c r="H369" s="29" t="s">
        <v>3</v>
      </c>
      <c r="I369" s="30">
        <f>I370+I404+I423</f>
        <v>2.1318829799999999</v>
      </c>
      <c r="J369" s="30">
        <f>J370+J404+J423</f>
        <v>0</v>
      </c>
      <c r="K369" s="31"/>
      <c r="L369" s="31"/>
      <c r="M369" s="31">
        <f>M370+M404+M423</f>
        <v>96.85788773367058</v>
      </c>
      <c r="N369" s="31"/>
      <c r="O369" s="31">
        <f>O370+O404+O423</f>
        <v>78.682010672840988</v>
      </c>
      <c r="P369" s="31"/>
      <c r="Q369" s="31">
        <f>Q370+Q404+Q423</f>
        <v>90.001411769103768</v>
      </c>
      <c r="R369" s="31" t="s">
        <v>480</v>
      </c>
      <c r="S369" s="33">
        <f>M369+O369+Q369</f>
        <v>265.54131017561531</v>
      </c>
    </row>
    <row r="370" spans="1:19" s="15" customFormat="1" ht="9" customHeight="1" x14ac:dyDescent="0.2">
      <c r="A370" s="110" t="s">
        <v>22</v>
      </c>
      <c r="B370" s="111"/>
      <c r="C370" s="118" t="s">
        <v>585</v>
      </c>
      <c r="D370" s="119"/>
      <c r="E370" s="119"/>
      <c r="F370" s="119"/>
      <c r="G370" s="120"/>
      <c r="H370" s="29" t="s">
        <v>3</v>
      </c>
      <c r="I370" s="30">
        <f t="shared" ref="I370:K371" si="144">I371</f>
        <v>2.1318829799999999</v>
      </c>
      <c r="J370" s="31">
        <f t="shared" si="144"/>
        <v>0</v>
      </c>
      <c r="K370" s="31">
        <f t="shared" si="144"/>
        <v>0</v>
      </c>
      <c r="L370" s="31" t="s">
        <v>480</v>
      </c>
      <c r="M370" s="31">
        <f>M371</f>
        <v>79.050017500000266</v>
      </c>
      <c r="N370" s="31" t="s">
        <v>480</v>
      </c>
      <c r="O370" s="31">
        <f>O371</f>
        <v>52.26421779999918</v>
      </c>
      <c r="P370" s="31" t="s">
        <v>480</v>
      </c>
      <c r="Q370" s="31">
        <f>Q371</f>
        <v>52.217275999998947</v>
      </c>
      <c r="R370" s="31" t="s">
        <v>480</v>
      </c>
      <c r="S370" s="33">
        <f>M370+O370+Q370</f>
        <v>183.53151129999839</v>
      </c>
    </row>
    <row r="371" spans="1:19" s="15" customFormat="1" x14ac:dyDescent="0.2">
      <c r="A371" s="110" t="s">
        <v>8</v>
      </c>
      <c r="B371" s="111"/>
      <c r="C371" s="112" t="s">
        <v>618</v>
      </c>
      <c r="D371" s="113"/>
      <c r="E371" s="113"/>
      <c r="F371" s="113"/>
      <c r="G371" s="114"/>
      <c r="H371" s="29" t="s">
        <v>3</v>
      </c>
      <c r="I371" s="30">
        <f t="shared" si="144"/>
        <v>2.1318829799999999</v>
      </c>
      <c r="J371" s="31">
        <f t="shared" si="144"/>
        <v>0</v>
      </c>
      <c r="K371" s="31">
        <f t="shared" si="144"/>
        <v>0</v>
      </c>
      <c r="L371" s="31" t="s">
        <v>480</v>
      </c>
      <c r="M371" s="31">
        <f>M372</f>
        <v>79.050017500000266</v>
      </c>
      <c r="N371" s="31" t="s">
        <v>480</v>
      </c>
      <c r="O371" s="31">
        <f>O372</f>
        <v>52.26421779999918</v>
      </c>
      <c r="P371" s="31" t="s">
        <v>480</v>
      </c>
      <c r="Q371" s="31">
        <f>Q372</f>
        <v>52.217275999998947</v>
      </c>
      <c r="R371" s="31" t="s">
        <v>480</v>
      </c>
      <c r="S371" s="33">
        <f>M371+O371+Q371</f>
        <v>183.53151129999839</v>
      </c>
    </row>
    <row r="372" spans="1:19" s="15" customFormat="1" ht="16.5" customHeight="1" x14ac:dyDescent="0.2">
      <c r="A372" s="110" t="s">
        <v>9</v>
      </c>
      <c r="B372" s="111"/>
      <c r="C372" s="115" t="s">
        <v>619</v>
      </c>
      <c r="D372" s="116"/>
      <c r="E372" s="116"/>
      <c r="F372" s="116"/>
      <c r="G372" s="117"/>
      <c r="H372" s="29" t="s">
        <v>3</v>
      </c>
      <c r="I372" s="30">
        <f>I385</f>
        <v>2.1318829799999999</v>
      </c>
      <c r="J372" s="31">
        <f>J385</f>
        <v>0</v>
      </c>
      <c r="K372" s="31">
        <f>K385</f>
        <v>0</v>
      </c>
      <c r="L372" s="31" t="s">
        <v>480</v>
      </c>
      <c r="M372" s="31">
        <f>M152</f>
        <v>79.050017500000266</v>
      </c>
      <c r="N372" s="31" t="s">
        <v>480</v>
      </c>
      <c r="O372" s="31">
        <f>O152</f>
        <v>52.26421779999918</v>
      </c>
      <c r="P372" s="31" t="s">
        <v>480</v>
      </c>
      <c r="Q372" s="31">
        <f>Q152</f>
        <v>52.217275999998947</v>
      </c>
      <c r="R372" s="31" t="s">
        <v>480</v>
      </c>
      <c r="S372" s="33">
        <f>M372+O372+Q372</f>
        <v>183.53151129999839</v>
      </c>
    </row>
    <row r="373" spans="1:19" s="15" customFormat="1" x14ac:dyDescent="0.2">
      <c r="A373" s="110" t="s">
        <v>573</v>
      </c>
      <c r="B373" s="111"/>
      <c r="C373" s="107" t="s">
        <v>620</v>
      </c>
      <c r="D373" s="108"/>
      <c r="E373" s="108"/>
      <c r="F373" s="108"/>
      <c r="G373" s="109"/>
      <c r="H373" s="29" t="s">
        <v>3</v>
      </c>
      <c r="I373" s="30" t="s">
        <v>480</v>
      </c>
      <c r="J373" s="31" t="s">
        <v>480</v>
      </c>
      <c r="K373" s="31" t="s">
        <v>480</v>
      </c>
      <c r="L373" s="31" t="s">
        <v>480</v>
      </c>
      <c r="M373" s="31" t="s">
        <v>480</v>
      </c>
      <c r="N373" s="31" t="s">
        <v>480</v>
      </c>
      <c r="O373" s="31" t="s">
        <v>480</v>
      </c>
      <c r="P373" s="31" t="s">
        <v>480</v>
      </c>
      <c r="Q373" s="31" t="s">
        <v>480</v>
      </c>
      <c r="R373" s="31" t="s">
        <v>480</v>
      </c>
      <c r="S373" s="33" t="s">
        <v>480</v>
      </c>
    </row>
    <row r="374" spans="1:19" s="15" customFormat="1" ht="16.5" customHeight="1" x14ac:dyDescent="0.2">
      <c r="A374" s="110" t="s">
        <v>574</v>
      </c>
      <c r="B374" s="111"/>
      <c r="C374" s="134" t="s">
        <v>44</v>
      </c>
      <c r="D374" s="135"/>
      <c r="E374" s="135"/>
      <c r="F374" s="135"/>
      <c r="G374" s="136"/>
      <c r="H374" s="29" t="s">
        <v>3</v>
      </c>
      <c r="I374" s="30" t="s">
        <v>480</v>
      </c>
      <c r="J374" s="31" t="s">
        <v>480</v>
      </c>
      <c r="K374" s="31" t="s">
        <v>480</v>
      </c>
      <c r="L374" s="31" t="s">
        <v>480</v>
      </c>
      <c r="M374" s="31" t="s">
        <v>480</v>
      </c>
      <c r="N374" s="31" t="s">
        <v>480</v>
      </c>
      <c r="O374" s="31" t="s">
        <v>480</v>
      </c>
      <c r="P374" s="31" t="s">
        <v>480</v>
      </c>
      <c r="Q374" s="31" t="s">
        <v>480</v>
      </c>
      <c r="R374" s="31" t="s">
        <v>480</v>
      </c>
      <c r="S374" s="33" t="s">
        <v>480</v>
      </c>
    </row>
    <row r="375" spans="1:19" s="15" customFormat="1" ht="16.5" customHeight="1" x14ac:dyDescent="0.2">
      <c r="A375" s="110" t="s">
        <v>575</v>
      </c>
      <c r="B375" s="111"/>
      <c r="C375" s="134" t="s">
        <v>53</v>
      </c>
      <c r="D375" s="135"/>
      <c r="E375" s="135"/>
      <c r="F375" s="135"/>
      <c r="G375" s="136"/>
      <c r="H375" s="29" t="s">
        <v>3</v>
      </c>
      <c r="I375" s="30" t="s">
        <v>480</v>
      </c>
      <c r="J375" s="31" t="s">
        <v>480</v>
      </c>
      <c r="K375" s="31" t="s">
        <v>480</v>
      </c>
      <c r="L375" s="31" t="s">
        <v>480</v>
      </c>
      <c r="M375" s="31" t="s">
        <v>480</v>
      </c>
      <c r="N375" s="31" t="s">
        <v>480</v>
      </c>
      <c r="O375" s="31" t="s">
        <v>480</v>
      </c>
      <c r="P375" s="31" t="s">
        <v>480</v>
      </c>
      <c r="Q375" s="31" t="s">
        <v>480</v>
      </c>
      <c r="R375" s="31" t="s">
        <v>480</v>
      </c>
      <c r="S375" s="33" t="s">
        <v>480</v>
      </c>
    </row>
    <row r="376" spans="1:19" s="15" customFormat="1" ht="16.5" customHeight="1" x14ac:dyDescent="0.2">
      <c r="A376" s="110" t="s">
        <v>576</v>
      </c>
      <c r="B376" s="111"/>
      <c r="C376" s="134" t="s">
        <v>54</v>
      </c>
      <c r="D376" s="135"/>
      <c r="E376" s="135"/>
      <c r="F376" s="135"/>
      <c r="G376" s="136"/>
      <c r="H376" s="29" t="s">
        <v>3</v>
      </c>
      <c r="I376" s="30" t="s">
        <v>480</v>
      </c>
      <c r="J376" s="31" t="s">
        <v>480</v>
      </c>
      <c r="K376" s="31" t="s">
        <v>480</v>
      </c>
      <c r="L376" s="31" t="s">
        <v>480</v>
      </c>
      <c r="M376" s="31" t="s">
        <v>480</v>
      </c>
      <c r="N376" s="31" t="s">
        <v>480</v>
      </c>
      <c r="O376" s="31" t="s">
        <v>480</v>
      </c>
      <c r="P376" s="31" t="s">
        <v>480</v>
      </c>
      <c r="Q376" s="31" t="s">
        <v>480</v>
      </c>
      <c r="R376" s="31" t="s">
        <v>480</v>
      </c>
      <c r="S376" s="33" t="s">
        <v>480</v>
      </c>
    </row>
    <row r="377" spans="1:19" s="15" customFormat="1" x14ac:dyDescent="0.2">
      <c r="A377" s="110" t="s">
        <v>577</v>
      </c>
      <c r="B377" s="111"/>
      <c r="C377" s="107" t="s">
        <v>621</v>
      </c>
      <c r="D377" s="108"/>
      <c r="E377" s="108"/>
      <c r="F377" s="108"/>
      <c r="G377" s="109"/>
      <c r="H377" s="29" t="s">
        <v>3</v>
      </c>
      <c r="I377" s="30" t="s">
        <v>480</v>
      </c>
      <c r="J377" s="31" t="s">
        <v>480</v>
      </c>
      <c r="K377" s="31" t="s">
        <v>480</v>
      </c>
      <c r="L377" s="31" t="s">
        <v>480</v>
      </c>
      <c r="M377" s="31" t="s">
        <v>480</v>
      </c>
      <c r="N377" s="31" t="s">
        <v>480</v>
      </c>
      <c r="O377" s="31" t="s">
        <v>480</v>
      </c>
      <c r="P377" s="31" t="s">
        <v>480</v>
      </c>
      <c r="Q377" s="31" t="s">
        <v>480</v>
      </c>
      <c r="R377" s="31" t="s">
        <v>480</v>
      </c>
      <c r="S377" s="33" t="s">
        <v>480</v>
      </c>
    </row>
    <row r="378" spans="1:19" s="15" customFormat="1" x14ac:dyDescent="0.2">
      <c r="A378" s="110" t="s">
        <v>578</v>
      </c>
      <c r="B378" s="111"/>
      <c r="C378" s="107" t="s">
        <v>622</v>
      </c>
      <c r="D378" s="108"/>
      <c r="E378" s="108"/>
      <c r="F378" s="108"/>
      <c r="G378" s="109"/>
      <c r="H378" s="29" t="s">
        <v>3</v>
      </c>
      <c r="I378" s="30" t="s">
        <v>480</v>
      </c>
      <c r="J378" s="31" t="s">
        <v>480</v>
      </c>
      <c r="K378" s="31" t="s">
        <v>480</v>
      </c>
      <c r="L378" s="31" t="s">
        <v>480</v>
      </c>
      <c r="M378" s="31" t="s">
        <v>480</v>
      </c>
      <c r="N378" s="31" t="s">
        <v>480</v>
      </c>
      <c r="O378" s="31" t="s">
        <v>480</v>
      </c>
      <c r="P378" s="31" t="s">
        <v>480</v>
      </c>
      <c r="Q378" s="31" t="s">
        <v>480</v>
      </c>
      <c r="R378" s="31" t="s">
        <v>480</v>
      </c>
      <c r="S378" s="33" t="s">
        <v>480</v>
      </c>
    </row>
    <row r="379" spans="1:19" s="15" customFormat="1" x14ac:dyDescent="0.2">
      <c r="A379" s="110" t="s">
        <v>579</v>
      </c>
      <c r="B379" s="111"/>
      <c r="C379" s="107" t="s">
        <v>623</v>
      </c>
      <c r="D379" s="108"/>
      <c r="E379" s="108"/>
      <c r="F379" s="108"/>
      <c r="G379" s="109"/>
      <c r="H379" s="29" t="s">
        <v>3</v>
      </c>
      <c r="I379" s="30" t="s">
        <v>480</v>
      </c>
      <c r="J379" s="31" t="s">
        <v>480</v>
      </c>
      <c r="K379" s="31" t="s">
        <v>480</v>
      </c>
      <c r="L379" s="31" t="s">
        <v>480</v>
      </c>
      <c r="M379" s="31" t="s">
        <v>480</v>
      </c>
      <c r="N379" s="31" t="s">
        <v>480</v>
      </c>
      <c r="O379" s="31" t="s">
        <v>480</v>
      </c>
      <c r="P379" s="31" t="s">
        <v>480</v>
      </c>
      <c r="Q379" s="31" t="s">
        <v>480</v>
      </c>
      <c r="R379" s="31" t="s">
        <v>480</v>
      </c>
      <c r="S379" s="33" t="s">
        <v>480</v>
      </c>
    </row>
    <row r="380" spans="1:19" s="15" customFormat="1" x14ac:dyDescent="0.2">
      <c r="A380" s="110" t="s">
        <v>580</v>
      </c>
      <c r="B380" s="111"/>
      <c r="C380" s="107" t="s">
        <v>624</v>
      </c>
      <c r="D380" s="108"/>
      <c r="E380" s="108"/>
      <c r="F380" s="108"/>
      <c r="G380" s="109"/>
      <c r="H380" s="29" t="s">
        <v>3</v>
      </c>
      <c r="I380" s="30" t="s">
        <v>480</v>
      </c>
      <c r="J380" s="31" t="s">
        <v>480</v>
      </c>
      <c r="K380" s="31" t="s">
        <v>480</v>
      </c>
      <c r="L380" s="31" t="s">
        <v>480</v>
      </c>
      <c r="M380" s="31" t="s">
        <v>480</v>
      </c>
      <c r="N380" s="31" t="s">
        <v>480</v>
      </c>
      <c r="O380" s="31" t="s">
        <v>480</v>
      </c>
      <c r="P380" s="31" t="s">
        <v>480</v>
      </c>
      <c r="Q380" s="31" t="s">
        <v>480</v>
      </c>
      <c r="R380" s="31" t="s">
        <v>480</v>
      </c>
      <c r="S380" s="33" t="s">
        <v>480</v>
      </c>
    </row>
    <row r="381" spans="1:19" s="15" customFormat="1" ht="16.5" customHeight="1" x14ac:dyDescent="0.2">
      <c r="A381" s="110" t="s">
        <v>581</v>
      </c>
      <c r="B381" s="111"/>
      <c r="C381" s="134" t="s">
        <v>625</v>
      </c>
      <c r="D381" s="135"/>
      <c r="E381" s="135"/>
      <c r="F381" s="135"/>
      <c r="G381" s="136"/>
      <c r="H381" s="29" t="s">
        <v>3</v>
      </c>
      <c r="I381" s="30" t="s">
        <v>480</v>
      </c>
      <c r="J381" s="31" t="s">
        <v>480</v>
      </c>
      <c r="K381" s="31" t="s">
        <v>480</v>
      </c>
      <c r="L381" s="31" t="s">
        <v>480</v>
      </c>
      <c r="M381" s="31" t="s">
        <v>480</v>
      </c>
      <c r="N381" s="31" t="s">
        <v>480</v>
      </c>
      <c r="O381" s="31" t="s">
        <v>480</v>
      </c>
      <c r="P381" s="31" t="s">
        <v>480</v>
      </c>
      <c r="Q381" s="31" t="s">
        <v>480</v>
      </c>
      <c r="R381" s="31" t="s">
        <v>480</v>
      </c>
      <c r="S381" s="33" t="s">
        <v>480</v>
      </c>
    </row>
    <row r="382" spans="1:19" s="15" customFormat="1" x14ac:dyDescent="0.2">
      <c r="A382" s="110" t="s">
        <v>582</v>
      </c>
      <c r="B382" s="111"/>
      <c r="C382" s="137" t="s">
        <v>626</v>
      </c>
      <c r="D382" s="138"/>
      <c r="E382" s="138"/>
      <c r="F382" s="138"/>
      <c r="G382" s="139"/>
      <c r="H382" s="29" t="s">
        <v>3</v>
      </c>
      <c r="I382" s="30" t="s">
        <v>480</v>
      </c>
      <c r="J382" s="31" t="s">
        <v>480</v>
      </c>
      <c r="K382" s="31" t="s">
        <v>480</v>
      </c>
      <c r="L382" s="31" t="s">
        <v>480</v>
      </c>
      <c r="M382" s="31" t="s">
        <v>480</v>
      </c>
      <c r="N382" s="31" t="s">
        <v>480</v>
      </c>
      <c r="O382" s="31" t="s">
        <v>480</v>
      </c>
      <c r="P382" s="31" t="s">
        <v>480</v>
      </c>
      <c r="Q382" s="31" t="s">
        <v>480</v>
      </c>
      <c r="R382" s="31" t="s">
        <v>480</v>
      </c>
      <c r="S382" s="33" t="s">
        <v>480</v>
      </c>
    </row>
    <row r="383" spans="1:19" s="15" customFormat="1" x14ac:dyDescent="0.2">
      <c r="A383" s="110" t="s">
        <v>583</v>
      </c>
      <c r="B383" s="111"/>
      <c r="C383" s="134" t="s">
        <v>627</v>
      </c>
      <c r="D383" s="135"/>
      <c r="E383" s="135"/>
      <c r="F383" s="135"/>
      <c r="G383" s="136"/>
      <c r="H383" s="29" t="s">
        <v>3</v>
      </c>
      <c r="I383" s="30" t="s">
        <v>480</v>
      </c>
      <c r="J383" s="31" t="s">
        <v>480</v>
      </c>
      <c r="K383" s="31" t="s">
        <v>480</v>
      </c>
      <c r="L383" s="31" t="s">
        <v>480</v>
      </c>
      <c r="M383" s="31" t="s">
        <v>480</v>
      </c>
      <c r="N383" s="31" t="s">
        <v>480</v>
      </c>
      <c r="O383" s="31" t="s">
        <v>480</v>
      </c>
      <c r="P383" s="31" t="s">
        <v>480</v>
      </c>
      <c r="Q383" s="31" t="s">
        <v>480</v>
      </c>
      <c r="R383" s="31" t="s">
        <v>480</v>
      </c>
      <c r="S383" s="33" t="s">
        <v>480</v>
      </c>
    </row>
    <row r="384" spans="1:19" s="15" customFormat="1" x14ac:dyDescent="0.2">
      <c r="A384" s="110" t="s">
        <v>584</v>
      </c>
      <c r="B384" s="111"/>
      <c r="C384" s="137" t="s">
        <v>626</v>
      </c>
      <c r="D384" s="138"/>
      <c r="E384" s="138"/>
      <c r="F384" s="138"/>
      <c r="G384" s="139"/>
      <c r="H384" s="29" t="s">
        <v>3</v>
      </c>
      <c r="I384" s="30" t="s">
        <v>480</v>
      </c>
      <c r="J384" s="31" t="s">
        <v>480</v>
      </c>
      <c r="K384" s="31" t="s">
        <v>480</v>
      </c>
      <c r="L384" s="31" t="s">
        <v>480</v>
      </c>
      <c r="M384" s="31" t="s">
        <v>480</v>
      </c>
      <c r="N384" s="31" t="s">
        <v>480</v>
      </c>
      <c r="O384" s="31" t="s">
        <v>480</v>
      </c>
      <c r="P384" s="31" t="s">
        <v>480</v>
      </c>
      <c r="Q384" s="31" t="s">
        <v>480</v>
      </c>
      <c r="R384" s="31" t="s">
        <v>480</v>
      </c>
      <c r="S384" s="33" t="s">
        <v>480</v>
      </c>
    </row>
    <row r="385" spans="1:19" s="15" customFormat="1" x14ac:dyDescent="0.2">
      <c r="A385" s="110" t="s">
        <v>586</v>
      </c>
      <c r="B385" s="111"/>
      <c r="C385" s="107" t="s">
        <v>628</v>
      </c>
      <c r="D385" s="108"/>
      <c r="E385" s="108"/>
      <c r="F385" s="108"/>
      <c r="G385" s="109"/>
      <c r="H385" s="29" t="s">
        <v>3</v>
      </c>
      <c r="I385" s="30">
        <v>2.1318829799999999</v>
      </c>
      <c r="J385" s="31">
        <v>0</v>
      </c>
      <c r="K385" s="31">
        <v>0</v>
      </c>
      <c r="L385" s="31"/>
      <c r="M385" s="31">
        <f>M152</f>
        <v>79.050017500000266</v>
      </c>
      <c r="N385" s="31"/>
      <c r="O385" s="31">
        <f>O152</f>
        <v>52.26421779999918</v>
      </c>
      <c r="P385" s="31"/>
      <c r="Q385" s="31">
        <f>Q152</f>
        <v>52.217275999998947</v>
      </c>
      <c r="R385" s="31" t="s">
        <v>480</v>
      </c>
      <c r="S385" s="33">
        <f>M385+O385+Q385</f>
        <v>183.53151129999839</v>
      </c>
    </row>
    <row r="386" spans="1:19" s="15" customFormat="1" x14ac:dyDescent="0.2">
      <c r="A386" s="110" t="s">
        <v>587</v>
      </c>
      <c r="B386" s="111"/>
      <c r="C386" s="107" t="s">
        <v>428</v>
      </c>
      <c r="D386" s="108"/>
      <c r="E386" s="108"/>
      <c r="F386" s="108"/>
      <c r="G386" s="109"/>
      <c r="H386" s="29" t="s">
        <v>3</v>
      </c>
      <c r="I386" s="30" t="s">
        <v>480</v>
      </c>
      <c r="J386" s="31" t="s">
        <v>480</v>
      </c>
      <c r="K386" s="31" t="s">
        <v>480</v>
      </c>
      <c r="L386" s="31" t="s">
        <v>480</v>
      </c>
      <c r="M386" s="31" t="s">
        <v>480</v>
      </c>
      <c r="N386" s="31" t="s">
        <v>480</v>
      </c>
      <c r="O386" s="31" t="s">
        <v>480</v>
      </c>
      <c r="P386" s="31" t="s">
        <v>480</v>
      </c>
      <c r="Q386" s="31" t="s">
        <v>480</v>
      </c>
      <c r="R386" s="31" t="s">
        <v>480</v>
      </c>
      <c r="S386" s="33" t="s">
        <v>480</v>
      </c>
    </row>
    <row r="387" spans="1:19" s="15" customFormat="1" ht="16.5" customHeight="1" x14ac:dyDescent="0.2">
      <c r="A387" s="110" t="s">
        <v>588</v>
      </c>
      <c r="B387" s="111"/>
      <c r="C387" s="107" t="s">
        <v>629</v>
      </c>
      <c r="D387" s="108"/>
      <c r="E387" s="108"/>
      <c r="F387" s="108"/>
      <c r="G387" s="109"/>
      <c r="H387" s="29" t="s">
        <v>3</v>
      </c>
      <c r="I387" s="30" t="s">
        <v>480</v>
      </c>
      <c r="J387" s="31" t="s">
        <v>480</v>
      </c>
      <c r="K387" s="31" t="s">
        <v>480</v>
      </c>
      <c r="L387" s="31" t="s">
        <v>480</v>
      </c>
      <c r="M387" s="31" t="s">
        <v>480</v>
      </c>
      <c r="N387" s="31" t="s">
        <v>480</v>
      </c>
      <c r="O387" s="31" t="s">
        <v>480</v>
      </c>
      <c r="P387" s="31" t="s">
        <v>480</v>
      </c>
      <c r="Q387" s="31" t="s">
        <v>480</v>
      </c>
      <c r="R387" s="31" t="s">
        <v>480</v>
      </c>
      <c r="S387" s="33" t="s">
        <v>480</v>
      </c>
    </row>
    <row r="388" spans="1:19" s="15" customFormat="1" x14ac:dyDescent="0.2">
      <c r="A388" s="110" t="s">
        <v>589</v>
      </c>
      <c r="B388" s="111"/>
      <c r="C388" s="134" t="s">
        <v>83</v>
      </c>
      <c r="D388" s="135"/>
      <c r="E388" s="135"/>
      <c r="F388" s="135"/>
      <c r="G388" s="136"/>
      <c r="H388" s="29" t="s">
        <v>3</v>
      </c>
      <c r="I388" s="30" t="s">
        <v>480</v>
      </c>
      <c r="J388" s="31" t="s">
        <v>480</v>
      </c>
      <c r="K388" s="31" t="s">
        <v>480</v>
      </c>
      <c r="L388" s="31" t="s">
        <v>480</v>
      </c>
      <c r="M388" s="31" t="s">
        <v>480</v>
      </c>
      <c r="N388" s="31" t="s">
        <v>480</v>
      </c>
      <c r="O388" s="31" t="s">
        <v>480</v>
      </c>
      <c r="P388" s="31" t="s">
        <v>480</v>
      </c>
      <c r="Q388" s="31" t="s">
        <v>480</v>
      </c>
      <c r="R388" s="31" t="s">
        <v>480</v>
      </c>
      <c r="S388" s="33" t="s">
        <v>480</v>
      </c>
    </row>
    <row r="389" spans="1:19" s="15" customFormat="1" x14ac:dyDescent="0.2">
      <c r="A389" s="110" t="s">
        <v>590</v>
      </c>
      <c r="B389" s="111"/>
      <c r="C389" s="134" t="s">
        <v>84</v>
      </c>
      <c r="D389" s="135"/>
      <c r="E389" s="135"/>
      <c r="F389" s="135"/>
      <c r="G389" s="136"/>
      <c r="H389" s="29" t="s">
        <v>3</v>
      </c>
      <c r="I389" s="30" t="s">
        <v>480</v>
      </c>
      <c r="J389" s="31" t="s">
        <v>480</v>
      </c>
      <c r="K389" s="31" t="s">
        <v>480</v>
      </c>
      <c r="L389" s="31" t="s">
        <v>480</v>
      </c>
      <c r="M389" s="31" t="s">
        <v>480</v>
      </c>
      <c r="N389" s="31" t="s">
        <v>480</v>
      </c>
      <c r="O389" s="31" t="s">
        <v>480</v>
      </c>
      <c r="P389" s="31" t="s">
        <v>480</v>
      </c>
      <c r="Q389" s="31" t="s">
        <v>480</v>
      </c>
      <c r="R389" s="31" t="s">
        <v>480</v>
      </c>
      <c r="S389" s="33" t="s">
        <v>480</v>
      </c>
    </row>
    <row r="390" spans="1:19" s="15" customFormat="1" ht="16.5" customHeight="1" x14ac:dyDescent="0.2">
      <c r="A390" s="110" t="s">
        <v>10</v>
      </c>
      <c r="B390" s="111"/>
      <c r="C390" s="115" t="s">
        <v>683</v>
      </c>
      <c r="D390" s="116"/>
      <c r="E390" s="116"/>
      <c r="F390" s="116"/>
      <c r="G390" s="117"/>
      <c r="H390" s="29" t="s">
        <v>3</v>
      </c>
      <c r="I390" s="30" t="s">
        <v>480</v>
      </c>
      <c r="J390" s="31" t="s">
        <v>480</v>
      </c>
      <c r="K390" s="31" t="s">
        <v>480</v>
      </c>
      <c r="L390" s="31" t="s">
        <v>480</v>
      </c>
      <c r="M390" s="31" t="s">
        <v>480</v>
      </c>
      <c r="N390" s="31" t="s">
        <v>480</v>
      </c>
      <c r="O390" s="31" t="s">
        <v>480</v>
      </c>
      <c r="P390" s="31" t="s">
        <v>480</v>
      </c>
      <c r="Q390" s="31" t="s">
        <v>480</v>
      </c>
      <c r="R390" s="31" t="s">
        <v>480</v>
      </c>
      <c r="S390" s="33" t="s">
        <v>480</v>
      </c>
    </row>
    <row r="391" spans="1:19" s="15" customFormat="1" ht="16.5" customHeight="1" x14ac:dyDescent="0.2">
      <c r="A391" s="110" t="s">
        <v>591</v>
      </c>
      <c r="B391" s="111"/>
      <c r="C391" s="107" t="s">
        <v>44</v>
      </c>
      <c r="D391" s="108"/>
      <c r="E391" s="108"/>
      <c r="F391" s="108"/>
      <c r="G391" s="109"/>
      <c r="H391" s="29" t="s">
        <v>3</v>
      </c>
      <c r="I391" s="30" t="s">
        <v>480</v>
      </c>
      <c r="J391" s="31" t="s">
        <v>480</v>
      </c>
      <c r="K391" s="31" t="s">
        <v>480</v>
      </c>
      <c r="L391" s="31" t="s">
        <v>480</v>
      </c>
      <c r="M391" s="31" t="s">
        <v>480</v>
      </c>
      <c r="N391" s="31" t="s">
        <v>480</v>
      </c>
      <c r="O391" s="31" t="s">
        <v>480</v>
      </c>
      <c r="P391" s="31" t="s">
        <v>480</v>
      </c>
      <c r="Q391" s="31" t="s">
        <v>480</v>
      </c>
      <c r="R391" s="31" t="s">
        <v>480</v>
      </c>
      <c r="S391" s="33" t="s">
        <v>480</v>
      </c>
    </row>
    <row r="392" spans="1:19" s="15" customFormat="1" ht="16.5" customHeight="1" x14ac:dyDescent="0.2">
      <c r="A392" s="110" t="s">
        <v>592</v>
      </c>
      <c r="B392" s="111"/>
      <c r="C392" s="107" t="s">
        <v>53</v>
      </c>
      <c r="D392" s="108"/>
      <c r="E392" s="108"/>
      <c r="F392" s="108"/>
      <c r="G392" s="109"/>
      <c r="H392" s="29" t="s">
        <v>3</v>
      </c>
      <c r="I392" s="30" t="s">
        <v>480</v>
      </c>
      <c r="J392" s="31" t="s">
        <v>480</v>
      </c>
      <c r="K392" s="31" t="s">
        <v>480</v>
      </c>
      <c r="L392" s="31" t="s">
        <v>480</v>
      </c>
      <c r="M392" s="31" t="s">
        <v>480</v>
      </c>
      <c r="N392" s="31" t="s">
        <v>480</v>
      </c>
      <c r="O392" s="31" t="s">
        <v>480</v>
      </c>
      <c r="P392" s="31" t="s">
        <v>480</v>
      </c>
      <c r="Q392" s="31" t="s">
        <v>480</v>
      </c>
      <c r="R392" s="31" t="s">
        <v>480</v>
      </c>
      <c r="S392" s="33" t="s">
        <v>480</v>
      </c>
    </row>
    <row r="393" spans="1:19" s="15" customFormat="1" ht="16.5" customHeight="1" x14ac:dyDescent="0.2">
      <c r="A393" s="110" t="s">
        <v>593</v>
      </c>
      <c r="B393" s="111"/>
      <c r="C393" s="107" t="s">
        <v>54</v>
      </c>
      <c r="D393" s="108"/>
      <c r="E393" s="108"/>
      <c r="F393" s="108"/>
      <c r="G393" s="109"/>
      <c r="H393" s="29" t="s">
        <v>3</v>
      </c>
      <c r="I393" s="30" t="s">
        <v>480</v>
      </c>
      <c r="J393" s="31" t="s">
        <v>480</v>
      </c>
      <c r="K393" s="31" t="s">
        <v>480</v>
      </c>
      <c r="L393" s="31" t="s">
        <v>480</v>
      </c>
      <c r="M393" s="31" t="s">
        <v>480</v>
      </c>
      <c r="N393" s="31" t="s">
        <v>480</v>
      </c>
      <c r="O393" s="31" t="s">
        <v>480</v>
      </c>
      <c r="P393" s="31" t="s">
        <v>480</v>
      </c>
      <c r="Q393" s="31" t="s">
        <v>480</v>
      </c>
      <c r="R393" s="31" t="s">
        <v>480</v>
      </c>
      <c r="S393" s="33" t="s">
        <v>480</v>
      </c>
    </row>
    <row r="394" spans="1:19" s="15" customFormat="1" x14ac:dyDescent="0.2">
      <c r="A394" s="110" t="s">
        <v>11</v>
      </c>
      <c r="B394" s="111"/>
      <c r="C394" s="115" t="s">
        <v>630</v>
      </c>
      <c r="D394" s="116"/>
      <c r="E394" s="116"/>
      <c r="F394" s="116"/>
      <c r="G394" s="117"/>
      <c r="H394" s="29" t="s">
        <v>3</v>
      </c>
      <c r="I394" s="30" t="s">
        <v>480</v>
      </c>
      <c r="J394" s="31" t="s">
        <v>480</v>
      </c>
      <c r="K394" s="31" t="s">
        <v>480</v>
      </c>
      <c r="L394" s="31" t="s">
        <v>480</v>
      </c>
      <c r="M394" s="31" t="s">
        <v>480</v>
      </c>
      <c r="N394" s="31" t="s">
        <v>480</v>
      </c>
      <c r="O394" s="31" t="s">
        <v>480</v>
      </c>
      <c r="P394" s="31" t="s">
        <v>480</v>
      </c>
      <c r="Q394" s="31" t="s">
        <v>480</v>
      </c>
      <c r="R394" s="31" t="s">
        <v>480</v>
      </c>
      <c r="S394" s="33" t="s">
        <v>480</v>
      </c>
    </row>
    <row r="395" spans="1:19" s="15" customFormat="1" x14ac:dyDescent="0.2">
      <c r="A395" s="110" t="s">
        <v>12</v>
      </c>
      <c r="B395" s="111"/>
      <c r="C395" s="112" t="s">
        <v>631</v>
      </c>
      <c r="D395" s="113"/>
      <c r="E395" s="113"/>
      <c r="F395" s="113"/>
      <c r="G395" s="114"/>
      <c r="H395" s="29" t="s">
        <v>3</v>
      </c>
      <c r="I395" s="30"/>
      <c r="J395" s="31"/>
      <c r="K395" s="31"/>
      <c r="L395" s="31"/>
      <c r="M395" s="31">
        <f>M404</f>
        <v>1.6648889447252144</v>
      </c>
      <c r="N395" s="31"/>
      <c r="O395" s="31">
        <f>O404</f>
        <v>13.304124427368309</v>
      </c>
      <c r="P395" s="31"/>
      <c r="Q395" s="31">
        <f>Q404</f>
        <v>22.783900474254192</v>
      </c>
      <c r="R395" s="31" t="s">
        <v>480</v>
      </c>
      <c r="S395" s="33">
        <f t="shared" ref="S395:S396" si="145">M395+O395+Q395</f>
        <v>37.752913846347717</v>
      </c>
    </row>
    <row r="396" spans="1:19" s="15" customFormat="1" x14ac:dyDescent="0.2">
      <c r="A396" s="110" t="s">
        <v>594</v>
      </c>
      <c r="B396" s="111"/>
      <c r="C396" s="115" t="s">
        <v>632</v>
      </c>
      <c r="D396" s="116"/>
      <c r="E396" s="116"/>
      <c r="F396" s="116"/>
      <c r="G396" s="117"/>
      <c r="H396" s="29" t="s">
        <v>3</v>
      </c>
      <c r="I396" s="30"/>
      <c r="J396" s="31"/>
      <c r="K396" s="31"/>
      <c r="L396" s="31"/>
      <c r="M396" s="31">
        <f>M404</f>
        <v>1.6648889447252144</v>
      </c>
      <c r="N396" s="31"/>
      <c r="O396" s="31">
        <f>O404</f>
        <v>13.304124427368309</v>
      </c>
      <c r="P396" s="31"/>
      <c r="Q396" s="31">
        <f>Q404</f>
        <v>22.783900474254192</v>
      </c>
      <c r="R396" s="31" t="s">
        <v>480</v>
      </c>
      <c r="S396" s="33">
        <f t="shared" si="145"/>
        <v>37.752913846347717</v>
      </c>
    </row>
    <row r="397" spans="1:19" s="15" customFormat="1" x14ac:dyDescent="0.2">
      <c r="A397" s="110" t="s">
        <v>595</v>
      </c>
      <c r="B397" s="111"/>
      <c r="C397" s="107" t="s">
        <v>633</v>
      </c>
      <c r="D397" s="108"/>
      <c r="E397" s="108"/>
      <c r="F397" s="108"/>
      <c r="G397" s="109"/>
      <c r="H397" s="29" t="s">
        <v>3</v>
      </c>
      <c r="I397" s="30" t="s">
        <v>480</v>
      </c>
      <c r="J397" s="31" t="s">
        <v>480</v>
      </c>
      <c r="K397" s="31" t="s">
        <v>480</v>
      </c>
      <c r="L397" s="31" t="s">
        <v>480</v>
      </c>
      <c r="M397" s="31" t="s">
        <v>480</v>
      </c>
      <c r="N397" s="31" t="s">
        <v>480</v>
      </c>
      <c r="O397" s="31" t="s">
        <v>480</v>
      </c>
      <c r="P397" s="31" t="s">
        <v>480</v>
      </c>
      <c r="Q397" s="31" t="s">
        <v>480</v>
      </c>
      <c r="R397" s="31" t="s">
        <v>480</v>
      </c>
      <c r="S397" s="33" t="s">
        <v>480</v>
      </c>
    </row>
    <row r="398" spans="1:19" s="15" customFormat="1" ht="16.5" customHeight="1" x14ac:dyDescent="0.2">
      <c r="A398" s="110" t="s">
        <v>596</v>
      </c>
      <c r="B398" s="111"/>
      <c r="C398" s="107" t="s">
        <v>44</v>
      </c>
      <c r="D398" s="108"/>
      <c r="E398" s="108"/>
      <c r="F398" s="108"/>
      <c r="G398" s="109"/>
      <c r="H398" s="29" t="s">
        <v>3</v>
      </c>
      <c r="I398" s="30" t="s">
        <v>480</v>
      </c>
      <c r="J398" s="31" t="s">
        <v>480</v>
      </c>
      <c r="K398" s="31" t="s">
        <v>480</v>
      </c>
      <c r="L398" s="31" t="s">
        <v>480</v>
      </c>
      <c r="M398" s="31" t="s">
        <v>480</v>
      </c>
      <c r="N398" s="31" t="s">
        <v>480</v>
      </c>
      <c r="O398" s="31" t="s">
        <v>480</v>
      </c>
      <c r="P398" s="31" t="s">
        <v>480</v>
      </c>
      <c r="Q398" s="31" t="s">
        <v>480</v>
      </c>
      <c r="R398" s="31" t="s">
        <v>480</v>
      </c>
      <c r="S398" s="33" t="s">
        <v>480</v>
      </c>
    </row>
    <row r="399" spans="1:19" s="15" customFormat="1" ht="16.5" customHeight="1" x14ac:dyDescent="0.2">
      <c r="A399" s="110" t="s">
        <v>597</v>
      </c>
      <c r="B399" s="111"/>
      <c r="C399" s="107" t="s">
        <v>53</v>
      </c>
      <c r="D399" s="108"/>
      <c r="E399" s="108"/>
      <c r="F399" s="108"/>
      <c r="G399" s="109"/>
      <c r="H399" s="29" t="s">
        <v>3</v>
      </c>
      <c r="I399" s="30" t="s">
        <v>480</v>
      </c>
      <c r="J399" s="31" t="s">
        <v>480</v>
      </c>
      <c r="K399" s="31" t="s">
        <v>480</v>
      </c>
      <c r="L399" s="31" t="s">
        <v>480</v>
      </c>
      <c r="M399" s="31" t="s">
        <v>480</v>
      </c>
      <c r="N399" s="31" t="s">
        <v>480</v>
      </c>
      <c r="O399" s="31" t="s">
        <v>480</v>
      </c>
      <c r="P399" s="31" t="s">
        <v>480</v>
      </c>
      <c r="Q399" s="31" t="s">
        <v>480</v>
      </c>
      <c r="R399" s="31" t="s">
        <v>480</v>
      </c>
      <c r="S399" s="33" t="s">
        <v>480</v>
      </c>
    </row>
    <row r="400" spans="1:19" s="15" customFormat="1" ht="16.5" customHeight="1" x14ac:dyDescent="0.2">
      <c r="A400" s="110" t="s">
        <v>598</v>
      </c>
      <c r="B400" s="111"/>
      <c r="C400" s="107" t="s">
        <v>54</v>
      </c>
      <c r="D400" s="108"/>
      <c r="E400" s="108"/>
      <c r="F400" s="108"/>
      <c r="G400" s="109"/>
      <c r="H400" s="29" t="s">
        <v>3</v>
      </c>
      <c r="I400" s="30" t="s">
        <v>480</v>
      </c>
      <c r="J400" s="31" t="s">
        <v>480</v>
      </c>
      <c r="K400" s="31" t="s">
        <v>480</v>
      </c>
      <c r="L400" s="31" t="s">
        <v>480</v>
      </c>
      <c r="M400" s="31" t="s">
        <v>480</v>
      </c>
      <c r="N400" s="31" t="s">
        <v>480</v>
      </c>
      <c r="O400" s="31" t="s">
        <v>480</v>
      </c>
      <c r="P400" s="31" t="s">
        <v>480</v>
      </c>
      <c r="Q400" s="31" t="s">
        <v>480</v>
      </c>
      <c r="R400" s="31" t="s">
        <v>480</v>
      </c>
      <c r="S400" s="33" t="s">
        <v>480</v>
      </c>
    </row>
    <row r="401" spans="1:19" s="15" customFormat="1" x14ac:dyDescent="0.2">
      <c r="A401" s="110" t="s">
        <v>599</v>
      </c>
      <c r="B401" s="111"/>
      <c r="C401" s="107" t="s">
        <v>423</v>
      </c>
      <c r="D401" s="108"/>
      <c r="E401" s="108"/>
      <c r="F401" s="108"/>
      <c r="G401" s="109"/>
      <c r="H401" s="29" t="s">
        <v>3</v>
      </c>
      <c r="I401" s="30" t="s">
        <v>480</v>
      </c>
      <c r="J401" s="31" t="s">
        <v>480</v>
      </c>
      <c r="K401" s="31" t="s">
        <v>480</v>
      </c>
      <c r="L401" s="31" t="s">
        <v>480</v>
      </c>
      <c r="M401" s="31" t="s">
        <v>480</v>
      </c>
      <c r="N401" s="31" t="s">
        <v>480</v>
      </c>
      <c r="O401" s="31" t="s">
        <v>480</v>
      </c>
      <c r="P401" s="31" t="s">
        <v>480</v>
      </c>
      <c r="Q401" s="31" t="s">
        <v>480</v>
      </c>
      <c r="R401" s="31" t="s">
        <v>480</v>
      </c>
      <c r="S401" s="33" t="s">
        <v>480</v>
      </c>
    </row>
    <row r="402" spans="1:19" s="15" customFormat="1" x14ac:dyDescent="0.2">
      <c r="A402" s="110" t="s">
        <v>600</v>
      </c>
      <c r="B402" s="111"/>
      <c r="C402" s="107" t="s">
        <v>424</v>
      </c>
      <c r="D402" s="108"/>
      <c r="E402" s="108"/>
      <c r="F402" s="108"/>
      <c r="G402" s="109"/>
      <c r="H402" s="29" t="s">
        <v>3</v>
      </c>
      <c r="I402" s="30" t="s">
        <v>480</v>
      </c>
      <c r="J402" s="31" t="s">
        <v>480</v>
      </c>
      <c r="K402" s="31" t="s">
        <v>480</v>
      </c>
      <c r="L402" s="31" t="s">
        <v>480</v>
      </c>
      <c r="M402" s="31" t="s">
        <v>480</v>
      </c>
      <c r="N402" s="31" t="s">
        <v>480</v>
      </c>
      <c r="O402" s="31" t="s">
        <v>480</v>
      </c>
      <c r="P402" s="31" t="s">
        <v>480</v>
      </c>
      <c r="Q402" s="31" t="s">
        <v>480</v>
      </c>
      <c r="R402" s="31" t="s">
        <v>480</v>
      </c>
      <c r="S402" s="33" t="s">
        <v>480</v>
      </c>
    </row>
    <row r="403" spans="1:19" s="15" customFormat="1" x14ac:dyDescent="0.2">
      <c r="A403" s="110" t="s">
        <v>601</v>
      </c>
      <c r="B403" s="111"/>
      <c r="C403" s="107" t="s">
        <v>425</v>
      </c>
      <c r="D403" s="108"/>
      <c r="E403" s="108"/>
      <c r="F403" s="108"/>
      <c r="G403" s="109"/>
      <c r="H403" s="29" t="s">
        <v>3</v>
      </c>
      <c r="I403" s="30" t="s">
        <v>480</v>
      </c>
      <c r="J403" s="31" t="s">
        <v>480</v>
      </c>
      <c r="K403" s="31" t="s">
        <v>480</v>
      </c>
      <c r="L403" s="31" t="s">
        <v>480</v>
      </c>
      <c r="M403" s="31" t="s">
        <v>480</v>
      </c>
      <c r="N403" s="31" t="s">
        <v>480</v>
      </c>
      <c r="O403" s="31" t="s">
        <v>480</v>
      </c>
      <c r="P403" s="31" t="s">
        <v>480</v>
      </c>
      <c r="Q403" s="31" t="s">
        <v>480</v>
      </c>
      <c r="R403" s="31" t="s">
        <v>480</v>
      </c>
      <c r="S403" s="33" t="s">
        <v>480</v>
      </c>
    </row>
    <row r="404" spans="1:19" s="15" customFormat="1" x14ac:dyDescent="0.2">
      <c r="A404" s="110" t="s">
        <v>602</v>
      </c>
      <c r="B404" s="111"/>
      <c r="C404" s="107" t="s">
        <v>427</v>
      </c>
      <c r="D404" s="108"/>
      <c r="E404" s="108"/>
      <c r="F404" s="108"/>
      <c r="G404" s="109"/>
      <c r="H404" s="29" t="s">
        <v>3</v>
      </c>
      <c r="I404" s="30"/>
      <c r="J404" s="31"/>
      <c r="K404" s="31" t="s">
        <v>480</v>
      </c>
      <c r="L404" s="31" t="s">
        <v>480</v>
      </c>
      <c r="M404" s="31">
        <f>M66</f>
        <v>1.6648889447252144</v>
      </c>
      <c r="N404" s="31" t="s">
        <v>480</v>
      </c>
      <c r="O404" s="31">
        <f>O66</f>
        <v>13.304124427368309</v>
      </c>
      <c r="P404" s="31" t="s">
        <v>480</v>
      </c>
      <c r="Q404" s="31">
        <f>Q66</f>
        <v>22.783900474254192</v>
      </c>
      <c r="R404" s="31" t="s">
        <v>480</v>
      </c>
      <c r="S404" s="33">
        <f>M404+O404+Q404</f>
        <v>37.752913846347717</v>
      </c>
    </row>
    <row r="405" spans="1:19" s="15" customFormat="1" x14ac:dyDescent="0.2">
      <c r="A405" s="110" t="s">
        <v>603</v>
      </c>
      <c r="B405" s="111"/>
      <c r="C405" s="107" t="s">
        <v>428</v>
      </c>
      <c r="D405" s="108"/>
      <c r="E405" s="108"/>
      <c r="F405" s="108"/>
      <c r="G405" s="109"/>
      <c r="H405" s="29" t="s">
        <v>3</v>
      </c>
      <c r="I405" s="30" t="s">
        <v>480</v>
      </c>
      <c r="J405" s="31" t="s">
        <v>480</v>
      </c>
      <c r="K405" s="31" t="s">
        <v>480</v>
      </c>
      <c r="L405" s="31" t="s">
        <v>480</v>
      </c>
      <c r="M405" s="31" t="s">
        <v>480</v>
      </c>
      <c r="N405" s="31" t="s">
        <v>480</v>
      </c>
      <c r="O405" s="31" t="s">
        <v>480</v>
      </c>
      <c r="P405" s="31" t="s">
        <v>480</v>
      </c>
      <c r="Q405" s="31" t="s">
        <v>480</v>
      </c>
      <c r="R405" s="31" t="s">
        <v>480</v>
      </c>
      <c r="S405" s="33" t="s">
        <v>480</v>
      </c>
    </row>
    <row r="406" spans="1:19" s="15" customFormat="1" ht="16.5" customHeight="1" x14ac:dyDescent="0.2">
      <c r="A406" s="110" t="s">
        <v>604</v>
      </c>
      <c r="B406" s="111"/>
      <c r="C406" s="107" t="s">
        <v>429</v>
      </c>
      <c r="D406" s="108"/>
      <c r="E406" s="108"/>
      <c r="F406" s="108"/>
      <c r="G406" s="109"/>
      <c r="H406" s="29" t="s">
        <v>3</v>
      </c>
      <c r="I406" s="30" t="s">
        <v>480</v>
      </c>
      <c r="J406" s="31" t="s">
        <v>480</v>
      </c>
      <c r="K406" s="31" t="s">
        <v>480</v>
      </c>
      <c r="L406" s="31" t="s">
        <v>480</v>
      </c>
      <c r="M406" s="31" t="s">
        <v>480</v>
      </c>
      <c r="N406" s="31" t="s">
        <v>480</v>
      </c>
      <c r="O406" s="31" t="s">
        <v>480</v>
      </c>
      <c r="P406" s="31" t="s">
        <v>480</v>
      </c>
      <c r="Q406" s="31" t="s">
        <v>480</v>
      </c>
      <c r="R406" s="31" t="s">
        <v>480</v>
      </c>
      <c r="S406" s="33" t="s">
        <v>480</v>
      </c>
    </row>
    <row r="407" spans="1:19" s="15" customFormat="1" x14ac:dyDescent="0.2">
      <c r="A407" s="110" t="s">
        <v>605</v>
      </c>
      <c r="B407" s="111"/>
      <c r="C407" s="134" t="s">
        <v>83</v>
      </c>
      <c r="D407" s="135"/>
      <c r="E407" s="135"/>
      <c r="F407" s="135"/>
      <c r="G407" s="136"/>
      <c r="H407" s="29" t="s">
        <v>3</v>
      </c>
      <c r="I407" s="30" t="s">
        <v>480</v>
      </c>
      <c r="J407" s="31" t="s">
        <v>480</v>
      </c>
      <c r="K407" s="31" t="s">
        <v>480</v>
      </c>
      <c r="L407" s="31" t="s">
        <v>480</v>
      </c>
      <c r="M407" s="31" t="s">
        <v>480</v>
      </c>
      <c r="N407" s="31" t="s">
        <v>480</v>
      </c>
      <c r="O407" s="31" t="s">
        <v>480</v>
      </c>
      <c r="P407" s="31" t="s">
        <v>480</v>
      </c>
      <c r="Q407" s="31" t="s">
        <v>480</v>
      </c>
      <c r="R407" s="31" t="s">
        <v>480</v>
      </c>
      <c r="S407" s="33" t="s">
        <v>480</v>
      </c>
    </row>
    <row r="408" spans="1:19" s="15" customFormat="1" x14ac:dyDescent="0.2">
      <c r="A408" s="110" t="s">
        <v>606</v>
      </c>
      <c r="B408" s="111"/>
      <c r="C408" s="134" t="s">
        <v>84</v>
      </c>
      <c r="D408" s="135"/>
      <c r="E408" s="135"/>
      <c r="F408" s="135"/>
      <c r="G408" s="136"/>
      <c r="H408" s="29" t="s">
        <v>3</v>
      </c>
      <c r="I408" s="30" t="s">
        <v>480</v>
      </c>
      <c r="J408" s="31" t="s">
        <v>480</v>
      </c>
      <c r="K408" s="31" t="s">
        <v>480</v>
      </c>
      <c r="L408" s="31" t="s">
        <v>480</v>
      </c>
      <c r="M408" s="31" t="s">
        <v>480</v>
      </c>
      <c r="N408" s="31" t="s">
        <v>480</v>
      </c>
      <c r="O408" s="31" t="s">
        <v>480</v>
      </c>
      <c r="P408" s="31" t="s">
        <v>480</v>
      </c>
      <c r="Q408" s="31" t="s">
        <v>480</v>
      </c>
      <c r="R408" s="31" t="s">
        <v>480</v>
      </c>
      <c r="S408" s="33" t="s">
        <v>480</v>
      </c>
    </row>
    <row r="409" spans="1:19" s="15" customFormat="1" x14ac:dyDescent="0.2">
      <c r="A409" s="110" t="s">
        <v>607</v>
      </c>
      <c r="B409" s="111"/>
      <c r="C409" s="115" t="s">
        <v>634</v>
      </c>
      <c r="D409" s="116"/>
      <c r="E409" s="116"/>
      <c r="F409" s="116"/>
      <c r="G409" s="117"/>
      <c r="H409" s="29" t="s">
        <v>3</v>
      </c>
      <c r="I409" s="30" t="s">
        <v>480</v>
      </c>
      <c r="J409" s="31" t="s">
        <v>480</v>
      </c>
      <c r="K409" s="31" t="s">
        <v>480</v>
      </c>
      <c r="L409" s="31" t="s">
        <v>480</v>
      </c>
      <c r="M409" s="31" t="s">
        <v>480</v>
      </c>
      <c r="N409" s="31" t="s">
        <v>480</v>
      </c>
      <c r="O409" s="31" t="s">
        <v>480</v>
      </c>
      <c r="P409" s="31" t="s">
        <v>480</v>
      </c>
      <c r="Q409" s="31" t="s">
        <v>480</v>
      </c>
      <c r="R409" s="31" t="s">
        <v>480</v>
      </c>
      <c r="S409" s="33" t="s">
        <v>480</v>
      </c>
    </row>
    <row r="410" spans="1:19" s="15" customFormat="1" x14ac:dyDescent="0.2">
      <c r="A410" s="110" t="s">
        <v>608</v>
      </c>
      <c r="B410" s="111"/>
      <c r="C410" s="115" t="s">
        <v>635</v>
      </c>
      <c r="D410" s="116"/>
      <c r="E410" s="116"/>
      <c r="F410" s="116"/>
      <c r="G410" s="117"/>
      <c r="H410" s="29" t="s">
        <v>3</v>
      </c>
      <c r="I410" s="30" t="s">
        <v>480</v>
      </c>
      <c r="J410" s="31" t="s">
        <v>480</v>
      </c>
      <c r="K410" s="31" t="s">
        <v>480</v>
      </c>
      <c r="L410" s="31" t="s">
        <v>480</v>
      </c>
      <c r="M410" s="31" t="s">
        <v>480</v>
      </c>
      <c r="N410" s="31" t="s">
        <v>480</v>
      </c>
      <c r="O410" s="31" t="s">
        <v>480</v>
      </c>
      <c r="P410" s="31" t="s">
        <v>480</v>
      </c>
      <c r="Q410" s="31" t="s">
        <v>480</v>
      </c>
      <c r="R410" s="31" t="s">
        <v>480</v>
      </c>
      <c r="S410" s="33" t="s">
        <v>480</v>
      </c>
    </row>
    <row r="411" spans="1:19" s="15" customFormat="1" x14ac:dyDescent="0.2">
      <c r="A411" s="110" t="s">
        <v>609</v>
      </c>
      <c r="B411" s="111"/>
      <c r="C411" s="107" t="s">
        <v>633</v>
      </c>
      <c r="D411" s="108"/>
      <c r="E411" s="108"/>
      <c r="F411" s="108"/>
      <c r="G411" s="109"/>
      <c r="H411" s="29" t="s">
        <v>3</v>
      </c>
      <c r="I411" s="30" t="s">
        <v>480</v>
      </c>
      <c r="J411" s="31" t="s">
        <v>480</v>
      </c>
      <c r="K411" s="31" t="s">
        <v>480</v>
      </c>
      <c r="L411" s="31" t="s">
        <v>480</v>
      </c>
      <c r="M411" s="31" t="s">
        <v>480</v>
      </c>
      <c r="N411" s="31" t="s">
        <v>480</v>
      </c>
      <c r="O411" s="31" t="s">
        <v>480</v>
      </c>
      <c r="P411" s="31" t="s">
        <v>480</v>
      </c>
      <c r="Q411" s="31" t="s">
        <v>480</v>
      </c>
      <c r="R411" s="31" t="s">
        <v>480</v>
      </c>
      <c r="S411" s="33" t="s">
        <v>480</v>
      </c>
    </row>
    <row r="412" spans="1:19" s="15" customFormat="1" ht="16.5" customHeight="1" x14ac:dyDescent="0.2">
      <c r="A412" s="110" t="s">
        <v>610</v>
      </c>
      <c r="B412" s="111"/>
      <c r="C412" s="107" t="s">
        <v>44</v>
      </c>
      <c r="D412" s="108"/>
      <c r="E412" s="108"/>
      <c r="F412" s="108"/>
      <c r="G412" s="109"/>
      <c r="H412" s="29" t="s">
        <v>3</v>
      </c>
      <c r="I412" s="30" t="s">
        <v>480</v>
      </c>
      <c r="J412" s="31" t="s">
        <v>480</v>
      </c>
      <c r="K412" s="31" t="s">
        <v>480</v>
      </c>
      <c r="L412" s="31" t="s">
        <v>480</v>
      </c>
      <c r="M412" s="31" t="s">
        <v>480</v>
      </c>
      <c r="N412" s="31" t="s">
        <v>480</v>
      </c>
      <c r="O412" s="31" t="s">
        <v>480</v>
      </c>
      <c r="P412" s="31" t="s">
        <v>480</v>
      </c>
      <c r="Q412" s="31" t="s">
        <v>480</v>
      </c>
      <c r="R412" s="31" t="s">
        <v>480</v>
      </c>
      <c r="S412" s="33" t="s">
        <v>480</v>
      </c>
    </row>
    <row r="413" spans="1:19" s="15" customFormat="1" ht="16.5" customHeight="1" x14ac:dyDescent="0.2">
      <c r="A413" s="110" t="s">
        <v>611</v>
      </c>
      <c r="B413" s="111"/>
      <c r="C413" s="107" t="s">
        <v>53</v>
      </c>
      <c r="D413" s="108"/>
      <c r="E413" s="108"/>
      <c r="F413" s="108"/>
      <c r="G413" s="109"/>
      <c r="H413" s="29" t="s">
        <v>3</v>
      </c>
      <c r="I413" s="30" t="s">
        <v>480</v>
      </c>
      <c r="J413" s="31" t="s">
        <v>480</v>
      </c>
      <c r="K413" s="31" t="s">
        <v>480</v>
      </c>
      <c r="L413" s="31" t="s">
        <v>480</v>
      </c>
      <c r="M413" s="31" t="s">
        <v>480</v>
      </c>
      <c r="N413" s="31" t="s">
        <v>480</v>
      </c>
      <c r="O413" s="31" t="s">
        <v>480</v>
      </c>
      <c r="P413" s="31" t="s">
        <v>480</v>
      </c>
      <c r="Q413" s="31" t="s">
        <v>480</v>
      </c>
      <c r="R413" s="31" t="s">
        <v>480</v>
      </c>
      <c r="S413" s="33" t="s">
        <v>480</v>
      </c>
    </row>
    <row r="414" spans="1:19" s="15" customFormat="1" ht="16.5" customHeight="1" x14ac:dyDescent="0.2">
      <c r="A414" s="110" t="s">
        <v>611</v>
      </c>
      <c r="B414" s="111"/>
      <c r="C414" s="107" t="s">
        <v>54</v>
      </c>
      <c r="D414" s="108"/>
      <c r="E414" s="108"/>
      <c r="F414" s="108"/>
      <c r="G414" s="109"/>
      <c r="H414" s="29" t="s">
        <v>3</v>
      </c>
      <c r="I414" s="30" t="s">
        <v>480</v>
      </c>
      <c r="J414" s="31" t="s">
        <v>480</v>
      </c>
      <c r="K414" s="31" t="s">
        <v>480</v>
      </c>
      <c r="L414" s="31" t="s">
        <v>480</v>
      </c>
      <c r="M414" s="31" t="s">
        <v>480</v>
      </c>
      <c r="N414" s="31" t="s">
        <v>480</v>
      </c>
      <c r="O414" s="31" t="s">
        <v>480</v>
      </c>
      <c r="P414" s="31" t="s">
        <v>480</v>
      </c>
      <c r="Q414" s="31" t="s">
        <v>480</v>
      </c>
      <c r="R414" s="31" t="s">
        <v>480</v>
      </c>
      <c r="S414" s="33" t="s">
        <v>480</v>
      </c>
    </row>
    <row r="415" spans="1:19" s="15" customFormat="1" x14ac:dyDescent="0.2">
      <c r="A415" s="110" t="s">
        <v>612</v>
      </c>
      <c r="B415" s="111"/>
      <c r="C415" s="107" t="s">
        <v>423</v>
      </c>
      <c r="D415" s="108"/>
      <c r="E415" s="108"/>
      <c r="F415" s="108"/>
      <c r="G415" s="109"/>
      <c r="H415" s="29" t="s">
        <v>3</v>
      </c>
      <c r="I415" s="30" t="s">
        <v>480</v>
      </c>
      <c r="J415" s="31" t="s">
        <v>480</v>
      </c>
      <c r="K415" s="31" t="s">
        <v>480</v>
      </c>
      <c r="L415" s="31" t="s">
        <v>480</v>
      </c>
      <c r="M415" s="31" t="s">
        <v>480</v>
      </c>
      <c r="N415" s="31" t="s">
        <v>480</v>
      </c>
      <c r="O415" s="31" t="s">
        <v>480</v>
      </c>
      <c r="P415" s="31" t="s">
        <v>480</v>
      </c>
      <c r="Q415" s="31" t="s">
        <v>480</v>
      </c>
      <c r="R415" s="31" t="s">
        <v>480</v>
      </c>
      <c r="S415" s="33" t="s">
        <v>480</v>
      </c>
    </row>
    <row r="416" spans="1:19" s="15" customFormat="1" x14ac:dyDescent="0.2">
      <c r="A416" s="110" t="s">
        <v>613</v>
      </c>
      <c r="B416" s="111"/>
      <c r="C416" s="107" t="s">
        <v>424</v>
      </c>
      <c r="D416" s="108"/>
      <c r="E416" s="108"/>
      <c r="F416" s="108"/>
      <c r="G416" s="109"/>
      <c r="H416" s="29" t="s">
        <v>3</v>
      </c>
      <c r="I416" s="30" t="s">
        <v>480</v>
      </c>
      <c r="J416" s="31" t="s">
        <v>480</v>
      </c>
      <c r="K416" s="31" t="s">
        <v>480</v>
      </c>
      <c r="L416" s="31" t="s">
        <v>480</v>
      </c>
      <c r="M416" s="31" t="s">
        <v>480</v>
      </c>
      <c r="N416" s="31" t="s">
        <v>480</v>
      </c>
      <c r="O416" s="31" t="s">
        <v>480</v>
      </c>
      <c r="P416" s="31" t="s">
        <v>480</v>
      </c>
      <c r="Q416" s="31" t="s">
        <v>480</v>
      </c>
      <c r="R416" s="31" t="s">
        <v>480</v>
      </c>
      <c r="S416" s="33" t="s">
        <v>480</v>
      </c>
    </row>
    <row r="417" spans="1:19" s="15" customFormat="1" x14ac:dyDescent="0.2">
      <c r="A417" s="110" t="s">
        <v>614</v>
      </c>
      <c r="B417" s="111"/>
      <c r="C417" s="107" t="s">
        <v>425</v>
      </c>
      <c r="D417" s="108"/>
      <c r="E417" s="108"/>
      <c r="F417" s="108"/>
      <c r="G417" s="109"/>
      <c r="H417" s="29" t="s">
        <v>3</v>
      </c>
      <c r="I417" s="30" t="s">
        <v>480</v>
      </c>
      <c r="J417" s="31" t="s">
        <v>480</v>
      </c>
      <c r="K417" s="31" t="s">
        <v>480</v>
      </c>
      <c r="L417" s="31" t="s">
        <v>480</v>
      </c>
      <c r="M417" s="31" t="s">
        <v>480</v>
      </c>
      <c r="N417" s="31" t="s">
        <v>480</v>
      </c>
      <c r="O417" s="31" t="s">
        <v>480</v>
      </c>
      <c r="P417" s="31" t="s">
        <v>480</v>
      </c>
      <c r="Q417" s="31" t="s">
        <v>480</v>
      </c>
      <c r="R417" s="31" t="s">
        <v>480</v>
      </c>
      <c r="S417" s="33" t="s">
        <v>480</v>
      </c>
    </row>
    <row r="418" spans="1:19" s="15" customFormat="1" x14ac:dyDescent="0.2">
      <c r="A418" s="110" t="s">
        <v>615</v>
      </c>
      <c r="B418" s="111"/>
      <c r="C418" s="107" t="s">
        <v>427</v>
      </c>
      <c r="D418" s="108"/>
      <c r="E418" s="108"/>
      <c r="F418" s="108"/>
      <c r="G418" s="109"/>
      <c r="H418" s="29" t="s">
        <v>3</v>
      </c>
      <c r="I418" s="30" t="s">
        <v>480</v>
      </c>
      <c r="J418" s="31" t="s">
        <v>480</v>
      </c>
      <c r="K418" s="31" t="s">
        <v>480</v>
      </c>
      <c r="L418" s="31" t="s">
        <v>480</v>
      </c>
      <c r="M418" s="31" t="s">
        <v>480</v>
      </c>
      <c r="N418" s="31" t="s">
        <v>480</v>
      </c>
      <c r="O418" s="31" t="s">
        <v>480</v>
      </c>
      <c r="P418" s="31" t="s">
        <v>480</v>
      </c>
      <c r="Q418" s="31" t="s">
        <v>480</v>
      </c>
      <c r="R418" s="31" t="s">
        <v>480</v>
      </c>
      <c r="S418" s="33" t="s">
        <v>480</v>
      </c>
    </row>
    <row r="419" spans="1:19" s="15" customFormat="1" x14ac:dyDescent="0.2">
      <c r="A419" s="110" t="s">
        <v>616</v>
      </c>
      <c r="B419" s="111"/>
      <c r="C419" s="107" t="s">
        <v>428</v>
      </c>
      <c r="D419" s="108"/>
      <c r="E419" s="108"/>
      <c r="F419" s="108"/>
      <c r="G419" s="109"/>
      <c r="H419" s="29" t="s">
        <v>3</v>
      </c>
      <c r="I419" s="30" t="s">
        <v>480</v>
      </c>
      <c r="J419" s="31" t="s">
        <v>480</v>
      </c>
      <c r="K419" s="31" t="s">
        <v>480</v>
      </c>
      <c r="L419" s="31" t="s">
        <v>480</v>
      </c>
      <c r="M419" s="31" t="s">
        <v>480</v>
      </c>
      <c r="N419" s="31" t="s">
        <v>480</v>
      </c>
      <c r="O419" s="31" t="s">
        <v>480</v>
      </c>
      <c r="P419" s="31" t="s">
        <v>480</v>
      </c>
      <c r="Q419" s="31" t="s">
        <v>480</v>
      </c>
      <c r="R419" s="31" t="s">
        <v>480</v>
      </c>
      <c r="S419" s="33" t="s">
        <v>480</v>
      </c>
    </row>
    <row r="420" spans="1:19" s="15" customFormat="1" ht="16.5" customHeight="1" x14ac:dyDescent="0.2">
      <c r="A420" s="110" t="s">
        <v>617</v>
      </c>
      <c r="B420" s="111"/>
      <c r="C420" s="107" t="s">
        <v>429</v>
      </c>
      <c r="D420" s="108"/>
      <c r="E420" s="108"/>
      <c r="F420" s="108"/>
      <c r="G420" s="109"/>
      <c r="H420" s="29" t="s">
        <v>3</v>
      </c>
      <c r="I420" s="30" t="s">
        <v>480</v>
      </c>
      <c r="J420" s="31" t="s">
        <v>480</v>
      </c>
      <c r="K420" s="31" t="s">
        <v>480</v>
      </c>
      <c r="L420" s="31" t="s">
        <v>480</v>
      </c>
      <c r="M420" s="31" t="s">
        <v>480</v>
      </c>
      <c r="N420" s="31" t="s">
        <v>480</v>
      </c>
      <c r="O420" s="31" t="s">
        <v>480</v>
      </c>
      <c r="P420" s="31" t="s">
        <v>480</v>
      </c>
      <c r="Q420" s="31" t="s">
        <v>480</v>
      </c>
      <c r="R420" s="31" t="s">
        <v>480</v>
      </c>
      <c r="S420" s="33" t="s">
        <v>480</v>
      </c>
    </row>
    <row r="421" spans="1:19" s="15" customFormat="1" x14ac:dyDescent="0.2">
      <c r="A421" s="110" t="s">
        <v>636</v>
      </c>
      <c r="B421" s="111"/>
      <c r="C421" s="134" t="s">
        <v>83</v>
      </c>
      <c r="D421" s="135"/>
      <c r="E421" s="135"/>
      <c r="F421" s="135"/>
      <c r="G421" s="136"/>
      <c r="H421" s="29" t="s">
        <v>3</v>
      </c>
      <c r="I421" s="30" t="s">
        <v>480</v>
      </c>
      <c r="J421" s="31" t="s">
        <v>480</v>
      </c>
      <c r="K421" s="31" t="s">
        <v>480</v>
      </c>
      <c r="L421" s="31" t="s">
        <v>480</v>
      </c>
      <c r="M421" s="31" t="s">
        <v>480</v>
      </c>
      <c r="N421" s="31" t="s">
        <v>480</v>
      </c>
      <c r="O421" s="31" t="s">
        <v>480</v>
      </c>
      <c r="P421" s="31" t="s">
        <v>480</v>
      </c>
      <c r="Q421" s="31" t="s">
        <v>480</v>
      </c>
      <c r="R421" s="31" t="s">
        <v>480</v>
      </c>
      <c r="S421" s="33" t="s">
        <v>480</v>
      </c>
    </row>
    <row r="422" spans="1:19" s="15" customFormat="1" x14ac:dyDescent="0.2">
      <c r="A422" s="110" t="s">
        <v>637</v>
      </c>
      <c r="B422" s="111"/>
      <c r="C422" s="134" t="s">
        <v>84</v>
      </c>
      <c r="D422" s="135"/>
      <c r="E422" s="135"/>
      <c r="F422" s="135"/>
      <c r="G422" s="136"/>
      <c r="H422" s="29" t="s">
        <v>3</v>
      </c>
      <c r="I422" s="30" t="s">
        <v>480</v>
      </c>
      <c r="J422" s="31" t="s">
        <v>480</v>
      </c>
      <c r="K422" s="31" t="s">
        <v>480</v>
      </c>
      <c r="L422" s="31" t="s">
        <v>480</v>
      </c>
      <c r="M422" s="31" t="s">
        <v>480</v>
      </c>
      <c r="N422" s="31" t="s">
        <v>480</v>
      </c>
      <c r="O422" s="31" t="s">
        <v>480</v>
      </c>
      <c r="P422" s="31" t="s">
        <v>480</v>
      </c>
      <c r="Q422" s="31" t="s">
        <v>480</v>
      </c>
      <c r="R422" s="31" t="s">
        <v>480</v>
      </c>
      <c r="S422" s="33" t="s">
        <v>480</v>
      </c>
    </row>
    <row r="423" spans="1:19" s="15" customFormat="1" x14ac:dyDescent="0.2">
      <c r="A423" s="110" t="s">
        <v>13</v>
      </c>
      <c r="B423" s="111"/>
      <c r="C423" s="112" t="s">
        <v>640</v>
      </c>
      <c r="D423" s="113"/>
      <c r="E423" s="113"/>
      <c r="F423" s="113"/>
      <c r="G423" s="114"/>
      <c r="H423" s="29" t="s">
        <v>3</v>
      </c>
      <c r="I423" s="30"/>
      <c r="J423" s="31"/>
      <c r="K423" s="31" t="s">
        <v>480</v>
      </c>
      <c r="L423" s="31" t="s">
        <v>480</v>
      </c>
      <c r="M423" s="31">
        <f>(M404+M385)*0.2</f>
        <v>16.142981288945098</v>
      </c>
      <c r="N423" s="31" t="s">
        <v>480</v>
      </c>
      <c r="O423" s="31">
        <f>(O404+O385)*0.2</f>
        <v>13.1136684454735</v>
      </c>
      <c r="P423" s="31" t="s">
        <v>480</v>
      </c>
      <c r="Q423" s="31">
        <f>(Q404+Q385)*0.2</f>
        <v>15.000235294850629</v>
      </c>
      <c r="R423" s="31" t="s">
        <v>480</v>
      </c>
      <c r="S423" s="33">
        <f>M423+O423+Q423</f>
        <v>44.256885029269228</v>
      </c>
    </row>
    <row r="424" spans="1:19" s="15" customFormat="1" x14ac:dyDescent="0.2">
      <c r="A424" s="110" t="s">
        <v>14</v>
      </c>
      <c r="B424" s="111"/>
      <c r="C424" s="112" t="s">
        <v>641</v>
      </c>
      <c r="D424" s="113"/>
      <c r="E424" s="113"/>
      <c r="F424" s="113"/>
      <c r="G424" s="114"/>
      <c r="H424" s="29" t="s">
        <v>3</v>
      </c>
      <c r="I424" s="30" t="s">
        <v>480</v>
      </c>
      <c r="J424" s="31" t="s">
        <v>480</v>
      </c>
      <c r="K424" s="31" t="s">
        <v>480</v>
      </c>
      <c r="L424" s="31" t="s">
        <v>480</v>
      </c>
      <c r="M424" s="31" t="s">
        <v>480</v>
      </c>
      <c r="N424" s="31" t="s">
        <v>480</v>
      </c>
      <c r="O424" s="31" t="s">
        <v>480</v>
      </c>
      <c r="P424" s="31" t="s">
        <v>480</v>
      </c>
      <c r="Q424" s="31" t="s">
        <v>480</v>
      </c>
      <c r="R424" s="31" t="s">
        <v>480</v>
      </c>
      <c r="S424" s="33" t="s">
        <v>480</v>
      </c>
    </row>
    <row r="425" spans="1:19" s="15" customFormat="1" x14ac:dyDescent="0.2">
      <c r="A425" s="110" t="s">
        <v>638</v>
      </c>
      <c r="B425" s="111"/>
      <c r="C425" s="115" t="s">
        <v>642</v>
      </c>
      <c r="D425" s="116"/>
      <c r="E425" s="116"/>
      <c r="F425" s="116"/>
      <c r="G425" s="117"/>
      <c r="H425" s="29" t="s">
        <v>3</v>
      </c>
      <c r="I425" s="30" t="s">
        <v>480</v>
      </c>
      <c r="J425" s="31" t="s">
        <v>480</v>
      </c>
      <c r="K425" s="31" t="s">
        <v>480</v>
      </c>
      <c r="L425" s="31" t="s">
        <v>480</v>
      </c>
      <c r="M425" s="31" t="s">
        <v>480</v>
      </c>
      <c r="N425" s="31" t="s">
        <v>480</v>
      </c>
      <c r="O425" s="31" t="s">
        <v>480</v>
      </c>
      <c r="P425" s="31" t="s">
        <v>480</v>
      </c>
      <c r="Q425" s="31" t="s">
        <v>480</v>
      </c>
      <c r="R425" s="31" t="s">
        <v>480</v>
      </c>
      <c r="S425" s="33" t="s">
        <v>480</v>
      </c>
    </row>
    <row r="426" spans="1:19" s="15" customFormat="1" x14ac:dyDescent="0.2">
      <c r="A426" s="110" t="s">
        <v>639</v>
      </c>
      <c r="B426" s="111"/>
      <c r="C426" s="115" t="s">
        <v>643</v>
      </c>
      <c r="D426" s="116"/>
      <c r="E426" s="116"/>
      <c r="F426" s="116"/>
      <c r="G426" s="117"/>
      <c r="H426" s="29" t="s">
        <v>3</v>
      </c>
      <c r="I426" s="30" t="s">
        <v>480</v>
      </c>
      <c r="J426" s="31" t="s">
        <v>480</v>
      </c>
      <c r="K426" s="31" t="s">
        <v>480</v>
      </c>
      <c r="L426" s="31" t="s">
        <v>480</v>
      </c>
      <c r="M426" s="31" t="s">
        <v>480</v>
      </c>
      <c r="N426" s="31" t="s">
        <v>480</v>
      </c>
      <c r="O426" s="31" t="s">
        <v>480</v>
      </c>
      <c r="P426" s="31" t="s">
        <v>480</v>
      </c>
      <c r="Q426" s="31" t="s">
        <v>480</v>
      </c>
      <c r="R426" s="31" t="s">
        <v>480</v>
      </c>
      <c r="S426" s="33" t="s">
        <v>480</v>
      </c>
    </row>
    <row r="427" spans="1:19" s="15" customFormat="1" ht="9" customHeight="1" x14ac:dyDescent="0.2">
      <c r="A427" s="110" t="s">
        <v>23</v>
      </c>
      <c r="B427" s="111"/>
      <c r="C427" s="118" t="s">
        <v>644</v>
      </c>
      <c r="D427" s="119"/>
      <c r="E427" s="119"/>
      <c r="F427" s="119"/>
      <c r="G427" s="120"/>
      <c r="H427" s="29" t="s">
        <v>3</v>
      </c>
      <c r="I427" s="30" t="s">
        <v>480</v>
      </c>
      <c r="J427" s="31" t="s">
        <v>480</v>
      </c>
      <c r="K427" s="31" t="s">
        <v>480</v>
      </c>
      <c r="L427" s="31" t="s">
        <v>480</v>
      </c>
      <c r="M427" s="31" t="s">
        <v>480</v>
      </c>
      <c r="N427" s="31" t="s">
        <v>480</v>
      </c>
      <c r="O427" s="31" t="s">
        <v>480</v>
      </c>
      <c r="P427" s="31" t="s">
        <v>480</v>
      </c>
      <c r="Q427" s="31" t="s">
        <v>480</v>
      </c>
      <c r="R427" s="31" t="s">
        <v>480</v>
      </c>
      <c r="S427" s="33" t="s">
        <v>480</v>
      </c>
    </row>
    <row r="428" spans="1:19" s="15" customFormat="1" x14ac:dyDescent="0.2">
      <c r="A428" s="110" t="s">
        <v>25</v>
      </c>
      <c r="B428" s="111"/>
      <c r="C428" s="112" t="s">
        <v>647</v>
      </c>
      <c r="D428" s="113"/>
      <c r="E428" s="113"/>
      <c r="F428" s="113"/>
      <c r="G428" s="114"/>
      <c r="H428" s="29" t="s">
        <v>3</v>
      </c>
      <c r="I428" s="30" t="s">
        <v>480</v>
      </c>
      <c r="J428" s="31" t="s">
        <v>480</v>
      </c>
      <c r="K428" s="31" t="s">
        <v>480</v>
      </c>
      <c r="L428" s="31" t="s">
        <v>480</v>
      </c>
      <c r="M428" s="31" t="s">
        <v>480</v>
      </c>
      <c r="N428" s="31" t="s">
        <v>480</v>
      </c>
      <c r="O428" s="31" t="s">
        <v>480</v>
      </c>
      <c r="P428" s="31" t="s">
        <v>480</v>
      </c>
      <c r="Q428" s="31" t="s">
        <v>480</v>
      </c>
      <c r="R428" s="31" t="s">
        <v>480</v>
      </c>
      <c r="S428" s="33" t="s">
        <v>480</v>
      </c>
    </row>
    <row r="429" spans="1:19" s="15" customFormat="1" x14ac:dyDescent="0.2">
      <c r="A429" s="110" t="s">
        <v>28</v>
      </c>
      <c r="B429" s="111"/>
      <c r="C429" s="112" t="s">
        <v>648</v>
      </c>
      <c r="D429" s="113"/>
      <c r="E429" s="113"/>
      <c r="F429" s="113"/>
      <c r="G429" s="114"/>
      <c r="H429" s="29" t="s">
        <v>3</v>
      </c>
      <c r="I429" s="30" t="s">
        <v>480</v>
      </c>
      <c r="J429" s="31" t="s">
        <v>480</v>
      </c>
      <c r="K429" s="31" t="s">
        <v>480</v>
      </c>
      <c r="L429" s="31" t="s">
        <v>480</v>
      </c>
      <c r="M429" s="31" t="s">
        <v>480</v>
      </c>
      <c r="N429" s="31" t="s">
        <v>480</v>
      </c>
      <c r="O429" s="31" t="s">
        <v>480</v>
      </c>
      <c r="P429" s="31" t="s">
        <v>480</v>
      </c>
      <c r="Q429" s="31" t="s">
        <v>480</v>
      </c>
      <c r="R429" s="31" t="s">
        <v>480</v>
      </c>
      <c r="S429" s="33" t="s">
        <v>480</v>
      </c>
    </row>
    <row r="430" spans="1:19" s="15" customFormat="1" x14ac:dyDescent="0.2">
      <c r="A430" s="110" t="s">
        <v>29</v>
      </c>
      <c r="B430" s="111"/>
      <c r="C430" s="112" t="s">
        <v>649</v>
      </c>
      <c r="D430" s="113"/>
      <c r="E430" s="113"/>
      <c r="F430" s="113"/>
      <c r="G430" s="114"/>
      <c r="H430" s="29" t="s">
        <v>3</v>
      </c>
      <c r="I430" s="30" t="s">
        <v>480</v>
      </c>
      <c r="J430" s="31" t="s">
        <v>480</v>
      </c>
      <c r="K430" s="31" t="s">
        <v>480</v>
      </c>
      <c r="L430" s="31" t="s">
        <v>480</v>
      </c>
      <c r="M430" s="31" t="s">
        <v>480</v>
      </c>
      <c r="N430" s="31" t="s">
        <v>480</v>
      </c>
      <c r="O430" s="31" t="s">
        <v>480</v>
      </c>
      <c r="P430" s="31" t="s">
        <v>480</v>
      </c>
      <c r="Q430" s="31" t="s">
        <v>480</v>
      </c>
      <c r="R430" s="31" t="s">
        <v>480</v>
      </c>
      <c r="S430" s="33" t="s">
        <v>480</v>
      </c>
    </row>
    <row r="431" spans="1:19" s="15" customFormat="1" x14ac:dyDescent="0.2">
      <c r="A431" s="110" t="s">
        <v>30</v>
      </c>
      <c r="B431" s="111"/>
      <c r="C431" s="112" t="s">
        <v>650</v>
      </c>
      <c r="D431" s="113"/>
      <c r="E431" s="113"/>
      <c r="F431" s="113"/>
      <c r="G431" s="114"/>
      <c r="H431" s="29" t="s">
        <v>3</v>
      </c>
      <c r="I431" s="30" t="s">
        <v>480</v>
      </c>
      <c r="J431" s="31" t="s">
        <v>480</v>
      </c>
      <c r="K431" s="31" t="s">
        <v>480</v>
      </c>
      <c r="L431" s="31" t="s">
        <v>480</v>
      </c>
      <c r="M431" s="31" t="s">
        <v>480</v>
      </c>
      <c r="N431" s="31" t="s">
        <v>480</v>
      </c>
      <c r="O431" s="31" t="s">
        <v>480</v>
      </c>
      <c r="P431" s="31" t="s">
        <v>480</v>
      </c>
      <c r="Q431" s="31" t="s">
        <v>480</v>
      </c>
      <c r="R431" s="31" t="s">
        <v>480</v>
      </c>
      <c r="S431" s="33" t="s">
        <v>480</v>
      </c>
    </row>
    <row r="432" spans="1:19" s="15" customFormat="1" x14ac:dyDescent="0.2">
      <c r="A432" s="110" t="s">
        <v>31</v>
      </c>
      <c r="B432" s="111"/>
      <c r="C432" s="112" t="s">
        <v>651</v>
      </c>
      <c r="D432" s="113"/>
      <c r="E432" s="113"/>
      <c r="F432" s="113"/>
      <c r="G432" s="114"/>
      <c r="H432" s="29" t="s">
        <v>3</v>
      </c>
      <c r="I432" s="30" t="s">
        <v>480</v>
      </c>
      <c r="J432" s="31" t="s">
        <v>480</v>
      </c>
      <c r="K432" s="31" t="s">
        <v>480</v>
      </c>
      <c r="L432" s="31" t="s">
        <v>480</v>
      </c>
      <c r="M432" s="31" t="s">
        <v>480</v>
      </c>
      <c r="N432" s="31" t="s">
        <v>480</v>
      </c>
      <c r="O432" s="31" t="s">
        <v>480</v>
      </c>
      <c r="P432" s="31" t="s">
        <v>480</v>
      </c>
      <c r="Q432" s="31" t="s">
        <v>480</v>
      </c>
      <c r="R432" s="31" t="s">
        <v>480</v>
      </c>
      <c r="S432" s="33" t="s">
        <v>480</v>
      </c>
    </row>
    <row r="433" spans="1:19" s="15" customFormat="1" x14ac:dyDescent="0.2">
      <c r="A433" s="110" t="s">
        <v>67</v>
      </c>
      <c r="B433" s="111"/>
      <c r="C433" s="115" t="s">
        <v>298</v>
      </c>
      <c r="D433" s="116"/>
      <c r="E433" s="116"/>
      <c r="F433" s="116"/>
      <c r="G433" s="117"/>
      <c r="H433" s="29" t="s">
        <v>3</v>
      </c>
      <c r="I433" s="30" t="s">
        <v>480</v>
      </c>
      <c r="J433" s="31" t="s">
        <v>480</v>
      </c>
      <c r="K433" s="31" t="s">
        <v>480</v>
      </c>
      <c r="L433" s="31" t="s">
        <v>480</v>
      </c>
      <c r="M433" s="31" t="s">
        <v>480</v>
      </c>
      <c r="N433" s="31" t="s">
        <v>480</v>
      </c>
      <c r="O433" s="31" t="s">
        <v>480</v>
      </c>
      <c r="P433" s="31" t="s">
        <v>480</v>
      </c>
      <c r="Q433" s="31" t="s">
        <v>480</v>
      </c>
      <c r="R433" s="31" t="s">
        <v>480</v>
      </c>
      <c r="S433" s="33" t="s">
        <v>480</v>
      </c>
    </row>
    <row r="434" spans="1:19" s="15" customFormat="1" ht="16.5" customHeight="1" x14ac:dyDescent="0.2">
      <c r="A434" s="110" t="s">
        <v>645</v>
      </c>
      <c r="B434" s="111"/>
      <c r="C434" s="107" t="s">
        <v>652</v>
      </c>
      <c r="D434" s="108"/>
      <c r="E434" s="108"/>
      <c r="F434" s="108"/>
      <c r="G434" s="109"/>
      <c r="H434" s="29" t="s">
        <v>3</v>
      </c>
      <c r="I434" s="30" t="s">
        <v>480</v>
      </c>
      <c r="J434" s="31" t="s">
        <v>480</v>
      </c>
      <c r="K434" s="31" t="s">
        <v>480</v>
      </c>
      <c r="L434" s="31" t="s">
        <v>480</v>
      </c>
      <c r="M434" s="31" t="s">
        <v>480</v>
      </c>
      <c r="N434" s="31" t="s">
        <v>480</v>
      </c>
      <c r="O434" s="31" t="s">
        <v>480</v>
      </c>
      <c r="P434" s="31" t="s">
        <v>480</v>
      </c>
      <c r="Q434" s="31" t="s">
        <v>480</v>
      </c>
      <c r="R434" s="31" t="s">
        <v>480</v>
      </c>
      <c r="S434" s="33" t="s">
        <v>480</v>
      </c>
    </row>
    <row r="435" spans="1:19" s="15" customFormat="1" x14ac:dyDescent="0.2">
      <c r="A435" s="110" t="s">
        <v>68</v>
      </c>
      <c r="B435" s="111"/>
      <c r="C435" s="115" t="s">
        <v>299</v>
      </c>
      <c r="D435" s="116"/>
      <c r="E435" s="116"/>
      <c r="F435" s="116"/>
      <c r="G435" s="117"/>
      <c r="H435" s="29" t="s">
        <v>3</v>
      </c>
      <c r="I435" s="30" t="s">
        <v>480</v>
      </c>
      <c r="J435" s="31" t="s">
        <v>480</v>
      </c>
      <c r="K435" s="31" t="s">
        <v>480</v>
      </c>
      <c r="L435" s="31" t="s">
        <v>480</v>
      </c>
      <c r="M435" s="31" t="s">
        <v>480</v>
      </c>
      <c r="N435" s="31" t="s">
        <v>480</v>
      </c>
      <c r="O435" s="31" t="s">
        <v>480</v>
      </c>
      <c r="P435" s="31" t="s">
        <v>480</v>
      </c>
      <c r="Q435" s="31" t="s">
        <v>480</v>
      </c>
      <c r="R435" s="31" t="s">
        <v>480</v>
      </c>
      <c r="S435" s="33" t="s">
        <v>480</v>
      </c>
    </row>
    <row r="436" spans="1:19" s="15" customFormat="1" ht="16.5" customHeight="1" x14ac:dyDescent="0.2">
      <c r="A436" s="110" t="s">
        <v>646</v>
      </c>
      <c r="B436" s="111"/>
      <c r="C436" s="107" t="s">
        <v>653</v>
      </c>
      <c r="D436" s="108"/>
      <c r="E436" s="108"/>
      <c r="F436" s="108"/>
      <c r="G436" s="109"/>
      <c r="H436" s="29" t="s">
        <v>3</v>
      </c>
      <c r="I436" s="30" t="s">
        <v>480</v>
      </c>
      <c r="J436" s="31" t="s">
        <v>480</v>
      </c>
      <c r="K436" s="31" t="s">
        <v>480</v>
      </c>
      <c r="L436" s="31" t="s">
        <v>480</v>
      </c>
      <c r="M436" s="31" t="s">
        <v>480</v>
      </c>
      <c r="N436" s="31" t="s">
        <v>480</v>
      </c>
      <c r="O436" s="31" t="s">
        <v>480</v>
      </c>
      <c r="P436" s="31" t="s">
        <v>480</v>
      </c>
      <c r="Q436" s="31" t="s">
        <v>480</v>
      </c>
      <c r="R436" s="31" t="s">
        <v>480</v>
      </c>
      <c r="S436" s="33" t="s">
        <v>480</v>
      </c>
    </row>
    <row r="437" spans="1:19" s="15" customFormat="1" x14ac:dyDescent="0.2">
      <c r="A437" s="110" t="s">
        <v>32</v>
      </c>
      <c r="B437" s="111"/>
      <c r="C437" s="112" t="s">
        <v>654</v>
      </c>
      <c r="D437" s="113"/>
      <c r="E437" s="113"/>
      <c r="F437" s="113"/>
      <c r="G437" s="114"/>
      <c r="H437" s="29" t="s">
        <v>3</v>
      </c>
      <c r="I437" s="30" t="s">
        <v>480</v>
      </c>
      <c r="J437" s="31" t="s">
        <v>480</v>
      </c>
      <c r="K437" s="31" t="s">
        <v>480</v>
      </c>
      <c r="L437" s="31" t="s">
        <v>480</v>
      </c>
      <c r="M437" s="31" t="s">
        <v>480</v>
      </c>
      <c r="N437" s="31" t="s">
        <v>480</v>
      </c>
      <c r="O437" s="31" t="s">
        <v>480</v>
      </c>
      <c r="P437" s="31" t="s">
        <v>480</v>
      </c>
      <c r="Q437" s="31" t="s">
        <v>480</v>
      </c>
      <c r="R437" s="31" t="s">
        <v>480</v>
      </c>
      <c r="S437" s="33" t="s">
        <v>480</v>
      </c>
    </row>
    <row r="438" spans="1:19" s="15" customFormat="1" ht="9" customHeight="1" thickBot="1" x14ac:dyDescent="0.25">
      <c r="A438" s="121" t="s">
        <v>33</v>
      </c>
      <c r="B438" s="122"/>
      <c r="C438" s="126" t="s">
        <v>655</v>
      </c>
      <c r="D438" s="127"/>
      <c r="E438" s="127"/>
      <c r="F438" s="127"/>
      <c r="G438" s="128"/>
      <c r="H438" s="39" t="s">
        <v>3</v>
      </c>
      <c r="I438" s="40" t="s">
        <v>480</v>
      </c>
      <c r="J438" s="41" t="s">
        <v>480</v>
      </c>
      <c r="K438" s="41" t="s">
        <v>480</v>
      </c>
      <c r="L438" s="41" t="s">
        <v>480</v>
      </c>
      <c r="M438" s="41" t="s">
        <v>480</v>
      </c>
      <c r="N438" s="41" t="s">
        <v>480</v>
      </c>
      <c r="O438" s="41" t="s">
        <v>480</v>
      </c>
      <c r="P438" s="41" t="s">
        <v>480</v>
      </c>
      <c r="Q438" s="41" t="s">
        <v>480</v>
      </c>
      <c r="R438" s="41" t="s">
        <v>480</v>
      </c>
      <c r="S438" s="43" t="s">
        <v>480</v>
      </c>
    </row>
    <row r="439" spans="1:19" s="15" customFormat="1" ht="9.75" customHeight="1" x14ac:dyDescent="0.2">
      <c r="A439" s="129" t="s">
        <v>115</v>
      </c>
      <c r="B439" s="130"/>
      <c r="C439" s="131" t="s">
        <v>111</v>
      </c>
      <c r="D439" s="132"/>
      <c r="E439" s="132"/>
      <c r="F439" s="132"/>
      <c r="G439" s="133"/>
      <c r="H439" s="46" t="s">
        <v>480</v>
      </c>
      <c r="I439" s="47" t="s">
        <v>480</v>
      </c>
      <c r="J439" s="48" t="s">
        <v>480</v>
      </c>
      <c r="K439" s="48" t="s">
        <v>480</v>
      </c>
      <c r="L439" s="48" t="s">
        <v>480</v>
      </c>
      <c r="M439" s="48" t="s">
        <v>480</v>
      </c>
      <c r="N439" s="48" t="s">
        <v>480</v>
      </c>
      <c r="O439" s="48" t="s">
        <v>480</v>
      </c>
      <c r="P439" s="48" t="s">
        <v>480</v>
      </c>
      <c r="Q439" s="48" t="s">
        <v>480</v>
      </c>
      <c r="R439" s="48" t="s">
        <v>480</v>
      </c>
      <c r="S439" s="50" t="s">
        <v>480</v>
      </c>
    </row>
    <row r="440" spans="1:19" s="15" customFormat="1" ht="24.75" customHeight="1" x14ac:dyDescent="0.2">
      <c r="A440" s="110" t="s">
        <v>117</v>
      </c>
      <c r="B440" s="111"/>
      <c r="C440" s="112" t="s">
        <v>659</v>
      </c>
      <c r="D440" s="113"/>
      <c r="E440" s="113"/>
      <c r="F440" s="113"/>
      <c r="G440" s="114"/>
      <c r="H440" s="29" t="s">
        <v>3</v>
      </c>
      <c r="I440" s="30" t="s">
        <v>480</v>
      </c>
      <c r="J440" s="31" t="s">
        <v>480</v>
      </c>
      <c r="K440" s="31" t="s">
        <v>480</v>
      </c>
      <c r="L440" s="31" t="s">
        <v>480</v>
      </c>
      <c r="M440" s="31" t="s">
        <v>480</v>
      </c>
      <c r="N440" s="31" t="s">
        <v>480</v>
      </c>
      <c r="O440" s="31" t="s">
        <v>480</v>
      </c>
      <c r="P440" s="31" t="s">
        <v>480</v>
      </c>
      <c r="Q440" s="31" t="s">
        <v>480</v>
      </c>
      <c r="R440" s="31" t="s">
        <v>480</v>
      </c>
      <c r="S440" s="33" t="s">
        <v>480</v>
      </c>
    </row>
    <row r="441" spans="1:19" s="15" customFormat="1" x14ac:dyDescent="0.2">
      <c r="A441" s="110" t="s">
        <v>118</v>
      </c>
      <c r="B441" s="111"/>
      <c r="C441" s="115" t="s">
        <v>660</v>
      </c>
      <c r="D441" s="116"/>
      <c r="E441" s="116"/>
      <c r="F441" s="116"/>
      <c r="G441" s="117"/>
      <c r="H441" s="29" t="s">
        <v>3</v>
      </c>
      <c r="I441" s="30" t="s">
        <v>480</v>
      </c>
      <c r="J441" s="31" t="s">
        <v>480</v>
      </c>
      <c r="K441" s="31" t="s">
        <v>480</v>
      </c>
      <c r="L441" s="31" t="s">
        <v>480</v>
      </c>
      <c r="M441" s="31" t="s">
        <v>480</v>
      </c>
      <c r="N441" s="31" t="s">
        <v>480</v>
      </c>
      <c r="O441" s="31" t="s">
        <v>480</v>
      </c>
      <c r="P441" s="31" t="s">
        <v>480</v>
      </c>
      <c r="Q441" s="31" t="s">
        <v>480</v>
      </c>
      <c r="R441" s="31" t="s">
        <v>480</v>
      </c>
      <c r="S441" s="33" t="s">
        <v>480</v>
      </c>
    </row>
    <row r="442" spans="1:19" s="15" customFormat="1" ht="16.5" customHeight="1" x14ac:dyDescent="0.2">
      <c r="A442" s="110" t="s">
        <v>119</v>
      </c>
      <c r="B442" s="111"/>
      <c r="C442" s="115" t="s">
        <v>680</v>
      </c>
      <c r="D442" s="116"/>
      <c r="E442" s="116"/>
      <c r="F442" s="116"/>
      <c r="G442" s="117"/>
      <c r="H442" s="29" t="s">
        <v>3</v>
      </c>
      <c r="I442" s="30" t="s">
        <v>480</v>
      </c>
      <c r="J442" s="31" t="s">
        <v>480</v>
      </c>
      <c r="K442" s="31" t="s">
        <v>480</v>
      </c>
      <c r="L442" s="31" t="s">
        <v>480</v>
      </c>
      <c r="M442" s="31" t="s">
        <v>480</v>
      </c>
      <c r="N442" s="31" t="s">
        <v>480</v>
      </c>
      <c r="O442" s="31" t="s">
        <v>480</v>
      </c>
      <c r="P442" s="31" t="s">
        <v>480</v>
      </c>
      <c r="Q442" s="31" t="s">
        <v>480</v>
      </c>
      <c r="R442" s="31" t="s">
        <v>480</v>
      </c>
      <c r="S442" s="33" t="s">
        <v>480</v>
      </c>
    </row>
    <row r="443" spans="1:19" s="15" customFormat="1" x14ac:dyDescent="0.2">
      <c r="A443" s="110" t="s">
        <v>120</v>
      </c>
      <c r="B443" s="111"/>
      <c r="C443" s="115" t="s">
        <v>661</v>
      </c>
      <c r="D443" s="116"/>
      <c r="E443" s="116"/>
      <c r="F443" s="116"/>
      <c r="G443" s="117"/>
      <c r="H443" s="29" t="s">
        <v>3</v>
      </c>
      <c r="I443" s="30" t="s">
        <v>480</v>
      </c>
      <c r="J443" s="31" t="s">
        <v>480</v>
      </c>
      <c r="K443" s="31" t="s">
        <v>480</v>
      </c>
      <c r="L443" s="31" t="s">
        <v>480</v>
      </c>
      <c r="M443" s="31" t="s">
        <v>480</v>
      </c>
      <c r="N443" s="31" t="s">
        <v>480</v>
      </c>
      <c r="O443" s="31" t="s">
        <v>480</v>
      </c>
      <c r="P443" s="31" t="s">
        <v>480</v>
      </c>
      <c r="Q443" s="31" t="s">
        <v>480</v>
      </c>
      <c r="R443" s="31" t="s">
        <v>480</v>
      </c>
      <c r="S443" s="33" t="s">
        <v>480</v>
      </c>
    </row>
    <row r="444" spans="1:19" s="15" customFormat="1" ht="17.25" customHeight="1" x14ac:dyDescent="0.2">
      <c r="A444" s="110" t="s">
        <v>121</v>
      </c>
      <c r="B444" s="111"/>
      <c r="C444" s="112" t="s">
        <v>662</v>
      </c>
      <c r="D444" s="113"/>
      <c r="E444" s="113"/>
      <c r="F444" s="113"/>
      <c r="G444" s="114"/>
      <c r="H444" s="29" t="s">
        <v>480</v>
      </c>
      <c r="I444" s="30" t="s">
        <v>480</v>
      </c>
      <c r="J444" s="31" t="s">
        <v>480</v>
      </c>
      <c r="K444" s="31" t="s">
        <v>480</v>
      </c>
      <c r="L444" s="31" t="s">
        <v>480</v>
      </c>
      <c r="M444" s="31" t="s">
        <v>480</v>
      </c>
      <c r="N444" s="31" t="s">
        <v>480</v>
      </c>
      <c r="O444" s="31" t="s">
        <v>480</v>
      </c>
      <c r="P444" s="31" t="s">
        <v>480</v>
      </c>
      <c r="Q444" s="31" t="s">
        <v>480</v>
      </c>
      <c r="R444" s="31" t="s">
        <v>480</v>
      </c>
      <c r="S444" s="33" t="s">
        <v>480</v>
      </c>
    </row>
    <row r="445" spans="1:19" s="15" customFormat="1" x14ac:dyDescent="0.2">
      <c r="A445" s="110" t="s">
        <v>656</v>
      </c>
      <c r="B445" s="111"/>
      <c r="C445" s="115" t="s">
        <v>663</v>
      </c>
      <c r="D445" s="116"/>
      <c r="E445" s="116"/>
      <c r="F445" s="116"/>
      <c r="G445" s="117"/>
      <c r="H445" s="29" t="s">
        <v>3</v>
      </c>
      <c r="I445" s="30" t="s">
        <v>480</v>
      </c>
      <c r="J445" s="31" t="s">
        <v>480</v>
      </c>
      <c r="K445" s="31" t="s">
        <v>480</v>
      </c>
      <c r="L445" s="31" t="s">
        <v>480</v>
      </c>
      <c r="M445" s="31" t="s">
        <v>480</v>
      </c>
      <c r="N445" s="31" t="s">
        <v>480</v>
      </c>
      <c r="O445" s="31" t="s">
        <v>480</v>
      </c>
      <c r="P445" s="31" t="s">
        <v>480</v>
      </c>
      <c r="Q445" s="31" t="s">
        <v>480</v>
      </c>
      <c r="R445" s="31" t="s">
        <v>480</v>
      </c>
      <c r="S445" s="33" t="s">
        <v>480</v>
      </c>
    </row>
    <row r="446" spans="1:19" s="15" customFormat="1" x14ac:dyDescent="0.2">
      <c r="A446" s="110" t="s">
        <v>657</v>
      </c>
      <c r="B446" s="111"/>
      <c r="C446" s="115" t="s">
        <v>664</v>
      </c>
      <c r="D446" s="116"/>
      <c r="E446" s="116"/>
      <c r="F446" s="116"/>
      <c r="G446" s="117"/>
      <c r="H446" s="29" t="s">
        <v>3</v>
      </c>
      <c r="I446" s="30" t="s">
        <v>480</v>
      </c>
      <c r="J446" s="31" t="s">
        <v>480</v>
      </c>
      <c r="K446" s="31" t="s">
        <v>480</v>
      </c>
      <c r="L446" s="31" t="s">
        <v>480</v>
      </c>
      <c r="M446" s="31" t="s">
        <v>480</v>
      </c>
      <c r="N446" s="31" t="s">
        <v>480</v>
      </c>
      <c r="O446" s="31" t="s">
        <v>480</v>
      </c>
      <c r="P446" s="31" t="s">
        <v>480</v>
      </c>
      <c r="Q446" s="31" t="s">
        <v>480</v>
      </c>
      <c r="R446" s="31" t="s">
        <v>480</v>
      </c>
      <c r="S446" s="33" t="s">
        <v>480</v>
      </c>
    </row>
    <row r="447" spans="1:19" s="15" customFormat="1" ht="9" customHeight="1" thickBot="1" x14ac:dyDescent="0.25">
      <c r="A447" s="121" t="s">
        <v>658</v>
      </c>
      <c r="B447" s="122"/>
      <c r="C447" s="123" t="s">
        <v>665</v>
      </c>
      <c r="D447" s="124"/>
      <c r="E447" s="124"/>
      <c r="F447" s="124"/>
      <c r="G447" s="125"/>
      <c r="H447" s="64" t="s">
        <v>3</v>
      </c>
      <c r="I447" s="40" t="s">
        <v>480</v>
      </c>
      <c r="J447" s="41" t="s">
        <v>480</v>
      </c>
      <c r="K447" s="41" t="s">
        <v>480</v>
      </c>
      <c r="L447" s="41" t="s">
        <v>480</v>
      </c>
      <c r="M447" s="41" t="s">
        <v>480</v>
      </c>
      <c r="N447" s="41" t="s">
        <v>480</v>
      </c>
      <c r="O447" s="41" t="s">
        <v>480</v>
      </c>
      <c r="P447" s="41" t="s">
        <v>480</v>
      </c>
      <c r="Q447" s="41" t="s">
        <v>480</v>
      </c>
      <c r="R447" s="41" t="s">
        <v>480</v>
      </c>
      <c r="S447" s="43" t="s">
        <v>480</v>
      </c>
    </row>
    <row r="448" spans="1:19" s="9" customFormat="1" ht="12" customHeight="1" x14ac:dyDescent="0.2">
      <c r="A448" s="65"/>
      <c r="B448" s="65"/>
      <c r="C448" s="65"/>
    </row>
    <row r="449" spans="1:1" s="9" customFormat="1" x14ac:dyDescent="0.2">
      <c r="A449" s="66" t="s">
        <v>696</v>
      </c>
    </row>
    <row r="450" spans="1:1" s="9" customFormat="1" ht="9" customHeight="1" x14ac:dyDescent="0.2">
      <c r="A450" s="66" t="s">
        <v>697</v>
      </c>
    </row>
    <row r="451" spans="1:1" s="9" customFormat="1" ht="9" customHeight="1" x14ac:dyDescent="0.2">
      <c r="A451" s="66" t="s">
        <v>698</v>
      </c>
    </row>
    <row r="452" spans="1:1" s="9" customFormat="1" ht="9" customHeight="1" x14ac:dyDescent="0.2">
      <c r="A452" s="66" t="s">
        <v>699</v>
      </c>
    </row>
    <row r="453" spans="1:1" s="9" customFormat="1" ht="9" customHeight="1" x14ac:dyDescent="0.2">
      <c r="A453" s="66" t="s">
        <v>700</v>
      </c>
    </row>
    <row r="454" spans="1:1" s="9" customFormat="1" ht="9" customHeight="1" x14ac:dyDescent="0.2">
      <c r="A454" s="66" t="s">
        <v>701</v>
      </c>
    </row>
    <row r="455" spans="1:1" s="9" customFormat="1" x14ac:dyDescent="0.2">
      <c r="A455" s="66" t="s">
        <v>702</v>
      </c>
    </row>
    <row r="456" spans="1:1" s="9" customFormat="1" x14ac:dyDescent="0.2">
      <c r="A456" s="66" t="s">
        <v>703</v>
      </c>
    </row>
    <row r="457" spans="1:1" s="9" customFormat="1" x14ac:dyDescent="0.2">
      <c r="A457" s="66" t="s">
        <v>704</v>
      </c>
    </row>
  </sheetData>
  <mergeCells count="865">
    <mergeCell ref="C35:G35"/>
    <mergeCell ref="C26:G26"/>
    <mergeCell ref="C27:G27"/>
    <mergeCell ref="C28:G28"/>
    <mergeCell ref="C29:G29"/>
    <mergeCell ref="C30:G30"/>
    <mergeCell ref="C31:G31"/>
    <mergeCell ref="C32:G32"/>
    <mergeCell ref="C33:G33"/>
    <mergeCell ref="C34:G34"/>
    <mergeCell ref="B13:F13"/>
    <mergeCell ref="A24:B24"/>
    <mergeCell ref="A25:B25"/>
    <mergeCell ref="C20:G20"/>
    <mergeCell ref="C21:G21"/>
    <mergeCell ref="C22:G22"/>
    <mergeCell ref="C23:G23"/>
    <mergeCell ref="C24:G24"/>
    <mergeCell ref="C25:G25"/>
    <mergeCell ref="A20:B20"/>
    <mergeCell ref="A21:B21"/>
    <mergeCell ref="A22:B22"/>
    <mergeCell ref="A23:B23"/>
    <mergeCell ref="A37:B37"/>
    <mergeCell ref="A26:B26"/>
    <mergeCell ref="A27:B27"/>
    <mergeCell ref="A28:B28"/>
    <mergeCell ref="A29:B29"/>
    <mergeCell ref="A30:B30"/>
    <mergeCell ref="A31:B31"/>
    <mergeCell ref="A44:B44"/>
    <mergeCell ref="A45:B45"/>
    <mergeCell ref="A38:B38"/>
    <mergeCell ref="A32:B32"/>
    <mergeCell ref="A33:B33"/>
    <mergeCell ref="A34:B34"/>
    <mergeCell ref="A35:B35"/>
    <mergeCell ref="A36:B36"/>
    <mergeCell ref="A39:B39"/>
    <mergeCell ref="A40:B40"/>
    <mergeCell ref="A41:B41"/>
    <mergeCell ref="A42:B42"/>
    <mergeCell ref="A43:B43"/>
    <mergeCell ref="A68:B68"/>
    <mergeCell ref="A69:B69"/>
    <mergeCell ref="A56:B56"/>
    <mergeCell ref="A57:B57"/>
    <mergeCell ref="A58:B58"/>
    <mergeCell ref="A59:B59"/>
    <mergeCell ref="A46:B46"/>
    <mergeCell ref="A47:B47"/>
    <mergeCell ref="A48:B48"/>
    <mergeCell ref="A49:B49"/>
    <mergeCell ref="A60:B60"/>
    <mergeCell ref="A62:B62"/>
    <mergeCell ref="A63:B63"/>
    <mergeCell ref="A64:B64"/>
    <mergeCell ref="A65:B65"/>
    <mergeCell ref="A66:B66"/>
    <mergeCell ref="A67:B67"/>
    <mergeCell ref="A61:B61"/>
    <mergeCell ref="A50:B50"/>
    <mergeCell ref="A51:B51"/>
    <mergeCell ref="A52:B52"/>
    <mergeCell ref="A53:B53"/>
    <mergeCell ref="A54:B54"/>
    <mergeCell ref="A55:B55"/>
    <mergeCell ref="A74:B74"/>
    <mergeCell ref="A75:B75"/>
    <mergeCell ref="A76:B76"/>
    <mergeCell ref="A77:B77"/>
    <mergeCell ref="A78:B78"/>
    <mergeCell ref="A79:B79"/>
    <mergeCell ref="A70:B70"/>
    <mergeCell ref="A71:B71"/>
    <mergeCell ref="A72:B72"/>
    <mergeCell ref="A73:B73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98:B98"/>
    <mergeCell ref="A99:B99"/>
    <mergeCell ref="A100:B100"/>
    <mergeCell ref="A101:B101"/>
    <mergeCell ref="A102:B102"/>
    <mergeCell ref="A103:B103"/>
    <mergeCell ref="A92:B92"/>
    <mergeCell ref="A93:B93"/>
    <mergeCell ref="A94:B94"/>
    <mergeCell ref="A95:B95"/>
    <mergeCell ref="A96:B96"/>
    <mergeCell ref="A97:B97"/>
    <mergeCell ref="A110:B110"/>
    <mergeCell ref="A111:B111"/>
    <mergeCell ref="A112:B112"/>
    <mergeCell ref="A113:B113"/>
    <mergeCell ref="A114:B114"/>
    <mergeCell ref="A115:B115"/>
    <mergeCell ref="A104:B104"/>
    <mergeCell ref="A105:B105"/>
    <mergeCell ref="A106:B106"/>
    <mergeCell ref="A107:B107"/>
    <mergeCell ref="A108:B108"/>
    <mergeCell ref="A109:B109"/>
    <mergeCell ref="A122:B122"/>
    <mergeCell ref="A123:B123"/>
    <mergeCell ref="A124:B124"/>
    <mergeCell ref="A125:B125"/>
    <mergeCell ref="A126:B126"/>
    <mergeCell ref="A127:B127"/>
    <mergeCell ref="A116:B116"/>
    <mergeCell ref="A117:B117"/>
    <mergeCell ref="A118:B118"/>
    <mergeCell ref="A119:B119"/>
    <mergeCell ref="A120:B120"/>
    <mergeCell ref="A121:B121"/>
    <mergeCell ref="A134:B134"/>
    <mergeCell ref="A135:B135"/>
    <mergeCell ref="A136:B136"/>
    <mergeCell ref="A137:B137"/>
    <mergeCell ref="A138:B138"/>
    <mergeCell ref="A139:B139"/>
    <mergeCell ref="A128:B128"/>
    <mergeCell ref="A129:B129"/>
    <mergeCell ref="A130:B130"/>
    <mergeCell ref="A131:B131"/>
    <mergeCell ref="A132:B132"/>
    <mergeCell ref="A133:B133"/>
    <mergeCell ref="A146:B146"/>
    <mergeCell ref="A147:B147"/>
    <mergeCell ref="A148:B148"/>
    <mergeCell ref="A149:B149"/>
    <mergeCell ref="A150:B150"/>
    <mergeCell ref="A151:B151"/>
    <mergeCell ref="A140:B140"/>
    <mergeCell ref="A141:B141"/>
    <mergeCell ref="A142:B142"/>
    <mergeCell ref="A143:B143"/>
    <mergeCell ref="A144:B144"/>
    <mergeCell ref="A145:B145"/>
    <mergeCell ref="A165:B165"/>
    <mergeCell ref="A166:B166"/>
    <mergeCell ref="A167:B167"/>
    <mergeCell ref="A168:B168"/>
    <mergeCell ref="A164:B164"/>
    <mergeCell ref="A152:B152"/>
    <mergeCell ref="A153:B153"/>
    <mergeCell ref="A154:B154"/>
    <mergeCell ref="A155:B155"/>
    <mergeCell ref="A156:B156"/>
    <mergeCell ref="A157:B157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B190"/>
    <mergeCell ref="A191:B191"/>
    <mergeCell ref="A192:B192"/>
    <mergeCell ref="A181:B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B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382:B382"/>
    <mergeCell ref="C382:G382"/>
    <mergeCell ref="A241:B241"/>
    <mergeCell ref="A254:B254"/>
    <mergeCell ref="A247:B247"/>
    <mergeCell ref="A248:B248"/>
    <mergeCell ref="A249:B249"/>
    <mergeCell ref="A250:B250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70:B270"/>
    <mergeCell ref="A271:B271"/>
    <mergeCell ref="A272:B272"/>
    <mergeCell ref="A273:B273"/>
    <mergeCell ref="A274:B274"/>
    <mergeCell ref="A281:B281"/>
    <mergeCell ref="A282:B282"/>
    <mergeCell ref="A283:B283"/>
    <mergeCell ref="A223:B223"/>
    <mergeCell ref="A224:B224"/>
    <mergeCell ref="C38:G38"/>
    <mergeCell ref="C39:G39"/>
    <mergeCell ref="C40:G40"/>
    <mergeCell ref="C41:G41"/>
    <mergeCell ref="C42:G42"/>
    <mergeCell ref="C43:G43"/>
    <mergeCell ref="C62:G62"/>
    <mergeCell ref="C63:G63"/>
    <mergeCell ref="C64:G64"/>
    <mergeCell ref="C65:G65"/>
    <mergeCell ref="C66:G66"/>
    <mergeCell ref="C67:G67"/>
    <mergeCell ref="C56:G56"/>
    <mergeCell ref="C57:G57"/>
    <mergeCell ref="C58:G58"/>
    <mergeCell ref="C59:G59"/>
    <mergeCell ref="A217:B217"/>
    <mergeCell ref="A218:B218"/>
    <mergeCell ref="A219:B219"/>
    <mergeCell ref="A220:B220"/>
    <mergeCell ref="A221:B221"/>
    <mergeCell ref="A222:B222"/>
    <mergeCell ref="C36:G36"/>
    <mergeCell ref="C37:G37"/>
    <mergeCell ref="C50:G50"/>
    <mergeCell ref="C51:G51"/>
    <mergeCell ref="C52:G52"/>
    <mergeCell ref="C53:G53"/>
    <mergeCell ref="C54:G54"/>
    <mergeCell ref="C55:G55"/>
    <mergeCell ref="C44:G44"/>
    <mergeCell ref="C45:G45"/>
    <mergeCell ref="C46:G46"/>
    <mergeCell ref="C47:G47"/>
    <mergeCell ref="C48:G48"/>
    <mergeCell ref="C49:G49"/>
    <mergeCell ref="C60:G60"/>
    <mergeCell ref="C61:G61"/>
    <mergeCell ref="C74:G74"/>
    <mergeCell ref="C75:G75"/>
    <mergeCell ref="C76:G76"/>
    <mergeCell ref="C77:G77"/>
    <mergeCell ref="C78:G78"/>
    <mergeCell ref="C79:G79"/>
    <mergeCell ref="C68:G68"/>
    <mergeCell ref="C69:G69"/>
    <mergeCell ref="C70:G70"/>
    <mergeCell ref="C71:G71"/>
    <mergeCell ref="C72:G72"/>
    <mergeCell ref="C73:G73"/>
    <mergeCell ref="C86:G86"/>
    <mergeCell ref="C87:G87"/>
    <mergeCell ref="C88:G88"/>
    <mergeCell ref="C89:G89"/>
    <mergeCell ref="C90:G90"/>
    <mergeCell ref="C91:G91"/>
    <mergeCell ref="C80:G80"/>
    <mergeCell ref="C81:G81"/>
    <mergeCell ref="C82:G82"/>
    <mergeCell ref="C83:G83"/>
    <mergeCell ref="C84:G84"/>
    <mergeCell ref="C85:G85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114:G114"/>
    <mergeCell ref="C115:G115"/>
    <mergeCell ref="C112:G112"/>
    <mergeCell ref="C111:G111"/>
    <mergeCell ref="C116:G116"/>
    <mergeCell ref="C117:G117"/>
    <mergeCell ref="C104:G104"/>
    <mergeCell ref="C105:G105"/>
    <mergeCell ref="C106:G106"/>
    <mergeCell ref="C107:G107"/>
    <mergeCell ref="C108:G108"/>
    <mergeCell ref="C113:G113"/>
    <mergeCell ref="C110:G110"/>
    <mergeCell ref="C109:G109"/>
    <mergeCell ref="C124:G124"/>
    <mergeCell ref="C125:G125"/>
    <mergeCell ref="C126:G126"/>
    <mergeCell ref="C127:G127"/>
    <mergeCell ref="C128:G128"/>
    <mergeCell ref="C129:G129"/>
    <mergeCell ref="C118:G118"/>
    <mergeCell ref="C119:G119"/>
    <mergeCell ref="C120:G120"/>
    <mergeCell ref="C121:G121"/>
    <mergeCell ref="C122:G122"/>
    <mergeCell ref="C123:G123"/>
    <mergeCell ref="C136:G136"/>
    <mergeCell ref="C137:G137"/>
    <mergeCell ref="C138:G138"/>
    <mergeCell ref="C139:G139"/>
    <mergeCell ref="C140:G140"/>
    <mergeCell ref="C141:G141"/>
    <mergeCell ref="C130:G130"/>
    <mergeCell ref="C131:G131"/>
    <mergeCell ref="C132:G132"/>
    <mergeCell ref="C133:G133"/>
    <mergeCell ref="C134:G134"/>
    <mergeCell ref="C135:G135"/>
    <mergeCell ref="C148:G148"/>
    <mergeCell ref="C149:G149"/>
    <mergeCell ref="C150:G150"/>
    <mergeCell ref="C151:G151"/>
    <mergeCell ref="C152:G152"/>
    <mergeCell ref="C153:G153"/>
    <mergeCell ref="C142:G142"/>
    <mergeCell ref="C143:G143"/>
    <mergeCell ref="C144:G144"/>
    <mergeCell ref="C145:G145"/>
    <mergeCell ref="C146:G146"/>
    <mergeCell ref="C147:G147"/>
    <mergeCell ref="C160:G160"/>
    <mergeCell ref="C161:G161"/>
    <mergeCell ref="C162:G162"/>
    <mergeCell ref="C164:G164"/>
    <mergeCell ref="A163:S163"/>
    <mergeCell ref="A160:B160"/>
    <mergeCell ref="A161:B161"/>
    <mergeCell ref="A162:B162"/>
    <mergeCell ref="C154:G154"/>
    <mergeCell ref="C155:G155"/>
    <mergeCell ref="C156:G156"/>
    <mergeCell ref="C157:G157"/>
    <mergeCell ref="C158:G158"/>
    <mergeCell ref="C159:G159"/>
    <mergeCell ref="A158:B158"/>
    <mergeCell ref="A159:B159"/>
    <mergeCell ref="C171:G171"/>
    <mergeCell ref="C172:G172"/>
    <mergeCell ref="C173:G173"/>
    <mergeCell ref="C174:G174"/>
    <mergeCell ref="C175:G175"/>
    <mergeCell ref="C176:G176"/>
    <mergeCell ref="C165:G165"/>
    <mergeCell ref="C166:G166"/>
    <mergeCell ref="C167:G167"/>
    <mergeCell ref="C168:G168"/>
    <mergeCell ref="C169:G169"/>
    <mergeCell ref="C170:G170"/>
    <mergeCell ref="C183:G183"/>
    <mergeCell ref="C184:G184"/>
    <mergeCell ref="C185:G185"/>
    <mergeCell ref="C186:G186"/>
    <mergeCell ref="C187:G187"/>
    <mergeCell ref="C188:G188"/>
    <mergeCell ref="C177:G177"/>
    <mergeCell ref="C178:G178"/>
    <mergeCell ref="C179:G179"/>
    <mergeCell ref="C180:G180"/>
    <mergeCell ref="C181:G181"/>
    <mergeCell ref="C182:G182"/>
    <mergeCell ref="C195:G195"/>
    <mergeCell ref="C196:G196"/>
    <mergeCell ref="C197:G197"/>
    <mergeCell ref="C198:G198"/>
    <mergeCell ref="C199:G199"/>
    <mergeCell ref="C200:G200"/>
    <mergeCell ref="C189:G189"/>
    <mergeCell ref="C190:G190"/>
    <mergeCell ref="C191:G191"/>
    <mergeCell ref="C192:G192"/>
    <mergeCell ref="C193:G193"/>
    <mergeCell ref="C194:G194"/>
    <mergeCell ref="C207:G207"/>
    <mergeCell ref="C208:G208"/>
    <mergeCell ref="C209:G209"/>
    <mergeCell ref="C210:G210"/>
    <mergeCell ref="C211:G211"/>
    <mergeCell ref="C212:G212"/>
    <mergeCell ref="C201:G201"/>
    <mergeCell ref="C202:G202"/>
    <mergeCell ref="C203:G203"/>
    <mergeCell ref="C204:G204"/>
    <mergeCell ref="C205:G205"/>
    <mergeCell ref="C206:G206"/>
    <mergeCell ref="C219:G219"/>
    <mergeCell ref="C220:G220"/>
    <mergeCell ref="C221:G221"/>
    <mergeCell ref="C222:G222"/>
    <mergeCell ref="C223:G223"/>
    <mergeCell ref="C224:G224"/>
    <mergeCell ref="C213:G213"/>
    <mergeCell ref="C214:G214"/>
    <mergeCell ref="C215:G215"/>
    <mergeCell ref="C216:G216"/>
    <mergeCell ref="C217:G217"/>
    <mergeCell ref="C218:G218"/>
    <mergeCell ref="C225:G225"/>
    <mergeCell ref="C242:G242"/>
    <mergeCell ref="C226:G226"/>
    <mergeCell ref="C227:G227"/>
    <mergeCell ref="C228:G228"/>
    <mergeCell ref="C229:G229"/>
    <mergeCell ref="C230:G230"/>
    <mergeCell ref="C231:G231"/>
    <mergeCell ref="C232:G232"/>
    <mergeCell ref="C241:G241"/>
    <mergeCell ref="C233:G233"/>
    <mergeCell ref="C234:G234"/>
    <mergeCell ref="C235:G235"/>
    <mergeCell ref="C236:G236"/>
    <mergeCell ref="A269:B269"/>
    <mergeCell ref="A263:B263"/>
    <mergeCell ref="A264:B264"/>
    <mergeCell ref="A265:B265"/>
    <mergeCell ref="A266:B266"/>
    <mergeCell ref="A267:B267"/>
    <mergeCell ref="A268:B268"/>
    <mergeCell ref="C260:G260"/>
    <mergeCell ref="C267:G267"/>
    <mergeCell ref="C268:G268"/>
    <mergeCell ref="C269:G269"/>
    <mergeCell ref="C237:G237"/>
    <mergeCell ref="C238:G238"/>
    <mergeCell ref="C239:G239"/>
    <mergeCell ref="C240:G240"/>
    <mergeCell ref="C255:G255"/>
    <mergeCell ref="A233:B233"/>
    <mergeCell ref="A234:B234"/>
    <mergeCell ref="A275:B275"/>
    <mergeCell ref="A276:B276"/>
    <mergeCell ref="A277:B277"/>
    <mergeCell ref="A278:B278"/>
    <mergeCell ref="A279:B279"/>
    <mergeCell ref="A280:B280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87:B287"/>
    <mergeCell ref="A288:B288"/>
    <mergeCell ref="A289:B289"/>
    <mergeCell ref="A290:B290"/>
    <mergeCell ref="A291:B291"/>
    <mergeCell ref="A292:B292"/>
    <mergeCell ref="A284:B284"/>
    <mergeCell ref="A285:B285"/>
    <mergeCell ref="A286:B286"/>
    <mergeCell ref="A299:B299"/>
    <mergeCell ref="A300:B300"/>
    <mergeCell ref="A301:B301"/>
    <mergeCell ref="A302:B302"/>
    <mergeCell ref="A303:B303"/>
    <mergeCell ref="A304:B304"/>
    <mergeCell ref="A293:B293"/>
    <mergeCell ref="A294:B294"/>
    <mergeCell ref="A295:B295"/>
    <mergeCell ref="A296:B296"/>
    <mergeCell ref="A297:B297"/>
    <mergeCell ref="A298:B298"/>
    <mergeCell ref="A329:B329"/>
    <mergeCell ref="A330:B330"/>
    <mergeCell ref="A331:B331"/>
    <mergeCell ref="A332:B332"/>
    <mergeCell ref="A322:B322"/>
    <mergeCell ref="A323:B323"/>
    <mergeCell ref="A324:B324"/>
    <mergeCell ref="A325:B325"/>
    <mergeCell ref="A326:B326"/>
    <mergeCell ref="A328:B328"/>
    <mergeCell ref="A333:B333"/>
    <mergeCell ref="A334:B334"/>
    <mergeCell ref="A335:B335"/>
    <mergeCell ref="A336:B336"/>
    <mergeCell ref="A337:B337"/>
    <mergeCell ref="A338:B338"/>
    <mergeCell ref="A345:B345"/>
    <mergeCell ref="A346:B346"/>
    <mergeCell ref="A347:B347"/>
    <mergeCell ref="A357:B357"/>
    <mergeCell ref="A358:B358"/>
    <mergeCell ref="A359:B359"/>
    <mergeCell ref="A350:B350"/>
    <mergeCell ref="A339:B339"/>
    <mergeCell ref="A341:B341"/>
    <mergeCell ref="A342:B342"/>
    <mergeCell ref="A343:B343"/>
    <mergeCell ref="A340:B340"/>
    <mergeCell ref="A344:B344"/>
    <mergeCell ref="A348:B348"/>
    <mergeCell ref="A349:B349"/>
    <mergeCell ref="A380:B380"/>
    <mergeCell ref="A369:G369"/>
    <mergeCell ref="C372:G372"/>
    <mergeCell ref="C362:G362"/>
    <mergeCell ref="C363:G363"/>
    <mergeCell ref="A351:B351"/>
    <mergeCell ref="A352:B352"/>
    <mergeCell ref="A353:B353"/>
    <mergeCell ref="A354:B354"/>
    <mergeCell ref="A355:B355"/>
    <mergeCell ref="A356:B356"/>
    <mergeCell ref="A378:B378"/>
    <mergeCell ref="A379:B379"/>
    <mergeCell ref="C378:G378"/>
    <mergeCell ref="C379:G379"/>
    <mergeCell ref="C368:G368"/>
    <mergeCell ref="C370:G370"/>
    <mergeCell ref="C371:G371"/>
    <mergeCell ref="A375:B375"/>
    <mergeCell ref="A376:B376"/>
    <mergeCell ref="A372:B372"/>
    <mergeCell ref="C352:G352"/>
    <mergeCell ref="C353:G353"/>
    <mergeCell ref="C354:G354"/>
    <mergeCell ref="C263:G263"/>
    <mergeCell ref="C264:G264"/>
    <mergeCell ref="A327:B327"/>
    <mergeCell ref="C265:G265"/>
    <mergeCell ref="C266:G266"/>
    <mergeCell ref="C279:G279"/>
    <mergeCell ref="C280:G280"/>
    <mergeCell ref="C281:G281"/>
    <mergeCell ref="C282:G282"/>
    <mergeCell ref="C283:G283"/>
    <mergeCell ref="C284:G284"/>
    <mergeCell ref="C273:G273"/>
    <mergeCell ref="C274:G274"/>
    <mergeCell ref="C275:G275"/>
    <mergeCell ref="C276:G276"/>
    <mergeCell ref="C277:G277"/>
    <mergeCell ref="C278:G278"/>
    <mergeCell ref="C291:G291"/>
    <mergeCell ref="C295:G295"/>
    <mergeCell ref="A305:B305"/>
    <mergeCell ref="A306:B306"/>
    <mergeCell ref="A307:B307"/>
    <mergeCell ref="A308:B308"/>
    <mergeCell ref="A309:B309"/>
    <mergeCell ref="C243:G243"/>
    <mergeCell ref="C244:G244"/>
    <mergeCell ref="C245:G245"/>
    <mergeCell ref="C246:G246"/>
    <mergeCell ref="C247:G247"/>
    <mergeCell ref="C248:G248"/>
    <mergeCell ref="C292:G292"/>
    <mergeCell ref="C293:G293"/>
    <mergeCell ref="C294:G294"/>
    <mergeCell ref="C256:G256"/>
    <mergeCell ref="C257:G257"/>
    <mergeCell ref="C258:G258"/>
    <mergeCell ref="C259:G259"/>
    <mergeCell ref="C249:G249"/>
    <mergeCell ref="C250:G250"/>
    <mergeCell ref="C251:G251"/>
    <mergeCell ref="C252:G252"/>
    <mergeCell ref="C253:G253"/>
    <mergeCell ref="C254:G254"/>
    <mergeCell ref="C270:G270"/>
    <mergeCell ref="C271:G271"/>
    <mergeCell ref="C272:G272"/>
    <mergeCell ref="C261:G261"/>
    <mergeCell ref="C262:G262"/>
    <mergeCell ref="C296:G296"/>
    <mergeCell ref="C285:G285"/>
    <mergeCell ref="C286:G286"/>
    <mergeCell ref="C287:G287"/>
    <mergeCell ref="C288:G288"/>
    <mergeCell ref="C289:G289"/>
    <mergeCell ref="C290:G290"/>
    <mergeCell ref="C303:G303"/>
    <mergeCell ref="C304:G304"/>
    <mergeCell ref="C305:G305"/>
    <mergeCell ref="C306:G306"/>
    <mergeCell ref="C307:G307"/>
    <mergeCell ref="C308:G308"/>
    <mergeCell ref="C297:G297"/>
    <mergeCell ref="C298:G298"/>
    <mergeCell ref="C299:G299"/>
    <mergeCell ref="C300:G300"/>
    <mergeCell ref="C301:G301"/>
    <mergeCell ref="C302:G302"/>
    <mergeCell ref="A318:B318"/>
    <mergeCell ref="A316:B316"/>
    <mergeCell ref="A317:B317"/>
    <mergeCell ref="C319:G319"/>
    <mergeCell ref="C320:G320"/>
    <mergeCell ref="C321:G321"/>
    <mergeCell ref="A321:B321"/>
    <mergeCell ref="A320:B320"/>
    <mergeCell ref="C309:G309"/>
    <mergeCell ref="C310:G310"/>
    <mergeCell ref="C311:G311"/>
    <mergeCell ref="C312:G312"/>
    <mergeCell ref="C313:G313"/>
    <mergeCell ref="C314:G314"/>
    <mergeCell ref="A311:B311"/>
    <mergeCell ref="A312:B312"/>
    <mergeCell ref="A313:B313"/>
    <mergeCell ref="A314:B314"/>
    <mergeCell ref="A319:B319"/>
    <mergeCell ref="A315:S315"/>
    <mergeCell ref="C316:G316"/>
    <mergeCell ref="C317:G317"/>
    <mergeCell ref="C318:G318"/>
    <mergeCell ref="A310:B310"/>
    <mergeCell ref="C328:G328"/>
    <mergeCell ref="C329:G329"/>
    <mergeCell ref="C330:G330"/>
    <mergeCell ref="C331:G331"/>
    <mergeCell ref="C332:G332"/>
    <mergeCell ref="C333:G333"/>
    <mergeCell ref="C322:G322"/>
    <mergeCell ref="C323:G323"/>
    <mergeCell ref="C324:G324"/>
    <mergeCell ref="C325:G325"/>
    <mergeCell ref="C326:G326"/>
    <mergeCell ref="C327:G327"/>
    <mergeCell ref="C341:G341"/>
    <mergeCell ref="C342:G342"/>
    <mergeCell ref="C343:G343"/>
    <mergeCell ref="C340:G340"/>
    <mergeCell ref="C344:G344"/>
    <mergeCell ref="C345:G345"/>
    <mergeCell ref="C334:G334"/>
    <mergeCell ref="C335:G335"/>
    <mergeCell ref="C336:G336"/>
    <mergeCell ref="C337:G337"/>
    <mergeCell ref="C338:G338"/>
    <mergeCell ref="C339:G339"/>
    <mergeCell ref="C355:G355"/>
    <mergeCell ref="C356:G356"/>
    <mergeCell ref="C357:G357"/>
    <mergeCell ref="C346:G346"/>
    <mergeCell ref="C347:G347"/>
    <mergeCell ref="C348:G348"/>
    <mergeCell ref="C349:G349"/>
    <mergeCell ref="C350:G350"/>
    <mergeCell ref="C351:G351"/>
    <mergeCell ref="A374:B374"/>
    <mergeCell ref="A368:B368"/>
    <mergeCell ref="A370:B370"/>
    <mergeCell ref="A371:B371"/>
    <mergeCell ref="C373:G373"/>
    <mergeCell ref="C374:G374"/>
    <mergeCell ref="C358:G358"/>
    <mergeCell ref="C359:G359"/>
    <mergeCell ref="C360:G360"/>
    <mergeCell ref="C361:G361"/>
    <mergeCell ref="C364:G364"/>
    <mergeCell ref="A363:B363"/>
    <mergeCell ref="A365:S365"/>
    <mergeCell ref="A366:B367"/>
    <mergeCell ref="C366:G367"/>
    <mergeCell ref="H366:H367"/>
    <mergeCell ref="A364:B364"/>
    <mergeCell ref="R366:S366"/>
    <mergeCell ref="P366:Q366"/>
    <mergeCell ref="L366:M366"/>
    <mergeCell ref="N366:O366"/>
    <mergeCell ref="A361:B361"/>
    <mergeCell ref="A362:B362"/>
    <mergeCell ref="C376:G376"/>
    <mergeCell ref="C377:G377"/>
    <mergeCell ref="A377:B377"/>
    <mergeCell ref="C380:G380"/>
    <mergeCell ref="C381:G381"/>
    <mergeCell ref="C384:G384"/>
    <mergeCell ref="A381:B381"/>
    <mergeCell ref="A235:B235"/>
    <mergeCell ref="A236:B236"/>
    <mergeCell ref="A238:B238"/>
    <mergeCell ref="A240:B240"/>
    <mergeCell ref="A237:B237"/>
    <mergeCell ref="A239:B239"/>
    <mergeCell ref="C375:G375"/>
    <mergeCell ref="A242:B242"/>
    <mergeCell ref="A243:B243"/>
    <mergeCell ref="A245:B245"/>
    <mergeCell ref="A253:B253"/>
    <mergeCell ref="A251:B251"/>
    <mergeCell ref="A252:B252"/>
    <mergeCell ref="A244:B244"/>
    <mergeCell ref="A246:B246"/>
    <mergeCell ref="A360:B360"/>
    <mergeCell ref="A373:B373"/>
    <mergeCell ref="A385:B385"/>
    <mergeCell ref="C385:G385"/>
    <mergeCell ref="A386:B386"/>
    <mergeCell ref="C386:G386"/>
    <mergeCell ref="A387:B387"/>
    <mergeCell ref="C387:G387"/>
    <mergeCell ref="A383:B383"/>
    <mergeCell ref="C383:G383"/>
    <mergeCell ref="A384:B384"/>
    <mergeCell ref="A393:B393"/>
    <mergeCell ref="A394:B394"/>
    <mergeCell ref="C394:G394"/>
    <mergeCell ref="A391:B391"/>
    <mergeCell ref="A392:B392"/>
    <mergeCell ref="C391:G391"/>
    <mergeCell ref="C392:G392"/>
    <mergeCell ref="C393:G393"/>
    <mergeCell ref="A388:B388"/>
    <mergeCell ref="C388:G388"/>
    <mergeCell ref="A389:B389"/>
    <mergeCell ref="C389:G389"/>
    <mergeCell ref="A390:B390"/>
    <mergeCell ref="C390:G390"/>
    <mergeCell ref="C400:G400"/>
    <mergeCell ref="A401:B401"/>
    <mergeCell ref="C401:G401"/>
    <mergeCell ref="A402:B402"/>
    <mergeCell ref="C402:G402"/>
    <mergeCell ref="A403:B403"/>
    <mergeCell ref="C403:G403"/>
    <mergeCell ref="A395:B395"/>
    <mergeCell ref="C395:G395"/>
    <mergeCell ref="A396:B396"/>
    <mergeCell ref="C396:G396"/>
    <mergeCell ref="A399:B399"/>
    <mergeCell ref="A400:B400"/>
    <mergeCell ref="A397:B397"/>
    <mergeCell ref="C397:G397"/>
    <mergeCell ref="A398:B398"/>
    <mergeCell ref="C399:G399"/>
    <mergeCell ref="C398:G398"/>
    <mergeCell ref="A404:B404"/>
    <mergeCell ref="C404:G404"/>
    <mergeCell ref="A407:B407"/>
    <mergeCell ref="A408:B408"/>
    <mergeCell ref="C408:G408"/>
    <mergeCell ref="A405:B405"/>
    <mergeCell ref="C405:G405"/>
    <mergeCell ref="A406:B406"/>
    <mergeCell ref="C406:G406"/>
    <mergeCell ref="C407:G407"/>
    <mergeCell ref="A412:B412"/>
    <mergeCell ref="C412:G412"/>
    <mergeCell ref="A413:B413"/>
    <mergeCell ref="C413:G413"/>
    <mergeCell ref="A414:B414"/>
    <mergeCell ref="C414:G414"/>
    <mergeCell ref="A409:B409"/>
    <mergeCell ref="C409:G409"/>
    <mergeCell ref="A410:B410"/>
    <mergeCell ref="C410:G410"/>
    <mergeCell ref="A411:B411"/>
    <mergeCell ref="C411:G411"/>
    <mergeCell ref="A423:B423"/>
    <mergeCell ref="C423:G423"/>
    <mergeCell ref="A418:B418"/>
    <mergeCell ref="C418:G418"/>
    <mergeCell ref="A419:B419"/>
    <mergeCell ref="C419:G419"/>
    <mergeCell ref="A420:B420"/>
    <mergeCell ref="C420:G420"/>
    <mergeCell ref="A415:B415"/>
    <mergeCell ref="C415:G415"/>
    <mergeCell ref="A416:B416"/>
    <mergeCell ref="C416:G416"/>
    <mergeCell ref="A417:B417"/>
    <mergeCell ref="C417:G417"/>
    <mergeCell ref="A421:B421"/>
    <mergeCell ref="C421:G421"/>
    <mergeCell ref="A422:B422"/>
    <mergeCell ref="C422:G422"/>
    <mergeCell ref="A424:B424"/>
    <mergeCell ref="C424:G424"/>
    <mergeCell ref="A425:B425"/>
    <mergeCell ref="A447:B447"/>
    <mergeCell ref="C447:G447"/>
    <mergeCell ref="A444:B444"/>
    <mergeCell ref="C444:G444"/>
    <mergeCell ref="A445:B445"/>
    <mergeCell ref="C445:G445"/>
    <mergeCell ref="A446:B446"/>
    <mergeCell ref="C446:G446"/>
    <mergeCell ref="A438:B438"/>
    <mergeCell ref="C438:G438"/>
    <mergeCell ref="A439:B439"/>
    <mergeCell ref="C439:G439"/>
    <mergeCell ref="A442:B442"/>
    <mergeCell ref="C442:G442"/>
    <mergeCell ref="A443:B443"/>
    <mergeCell ref="C443:G443"/>
    <mergeCell ref="A440:B440"/>
    <mergeCell ref="C440:G440"/>
    <mergeCell ref="A441:B441"/>
    <mergeCell ref="C441:G441"/>
    <mergeCell ref="A436:B436"/>
    <mergeCell ref="C436:G436"/>
    <mergeCell ref="A437:B437"/>
    <mergeCell ref="C437:G437"/>
    <mergeCell ref="A434:B434"/>
    <mergeCell ref="C434:G434"/>
    <mergeCell ref="A435:B435"/>
    <mergeCell ref="C435:G435"/>
    <mergeCell ref="C425:G425"/>
    <mergeCell ref="A426:B426"/>
    <mergeCell ref="C426:G426"/>
    <mergeCell ref="A433:B433"/>
    <mergeCell ref="C433:G433"/>
    <mergeCell ref="A430:B430"/>
    <mergeCell ref="C430:G430"/>
    <mergeCell ref="A431:B431"/>
    <mergeCell ref="C431:G431"/>
    <mergeCell ref="A432:B432"/>
    <mergeCell ref="C432:G432"/>
    <mergeCell ref="A427:B427"/>
    <mergeCell ref="C427:G427"/>
    <mergeCell ref="A428:B428"/>
    <mergeCell ref="C428:G428"/>
    <mergeCell ref="A429:B429"/>
    <mergeCell ref="C429:G429"/>
    <mergeCell ref="R16:S16"/>
    <mergeCell ref="C18:G18"/>
    <mergeCell ref="A18:B18"/>
    <mergeCell ref="H16:H17"/>
    <mergeCell ref="L16:M16"/>
    <mergeCell ref="C16:G17"/>
    <mergeCell ref="A16:B17"/>
    <mergeCell ref="N16:O16"/>
    <mergeCell ref="P16:Q16"/>
  </mergeCells>
  <pageMargins left="0.39370078740157483" right="0.31496062992125984" top="0.39370078740157483" bottom="0.31496062992125984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стр.1_4</vt:lpstr>
      <vt:lpstr>стр.1_4!Область_печати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Горбоконь Ольга Викторовна</cp:lastModifiedBy>
  <cp:lastPrinted>2020-02-17T11:02:28Z</cp:lastPrinted>
  <dcterms:created xsi:type="dcterms:W3CDTF">2012-05-12T07:32:36Z</dcterms:created>
  <dcterms:modified xsi:type="dcterms:W3CDTF">2020-03-19T11:54:07Z</dcterms:modified>
</cp:coreProperties>
</file>