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0\Сбыты\форматы для СД\КБЭ\Обоснование стоимости\"/>
    </mc:Choice>
  </mc:AlternateContent>
  <bookViews>
    <workbookView xWindow="480" yWindow="1095" windowWidth="11340" windowHeight="8325"/>
  </bookViews>
  <sheets>
    <sheet name="ССР база" sheetId="2" r:id="rId1"/>
    <sheet name="УСР" sheetId="4" r:id="rId2"/>
  </sheets>
  <calcPr calcId="162913"/>
</workbook>
</file>

<file path=xl/calcChain.xml><?xml version="1.0" encoding="utf-8"?>
<calcChain xmlns="http://schemas.openxmlformats.org/spreadsheetml/2006/main">
  <c r="G34" i="2" l="1"/>
  <c r="G33" i="2"/>
  <c r="F33" i="2"/>
  <c r="F31" i="2" l="1"/>
  <c r="F27" i="2" l="1"/>
  <c r="G31" i="2" l="1"/>
  <c r="G29" i="2"/>
  <c r="G27" i="2"/>
  <c r="G32" i="2"/>
  <c r="G30" i="2"/>
  <c r="G28" i="2"/>
  <c r="J34" i="2" l="1"/>
  <c r="I34" i="2"/>
  <c r="J33" i="2"/>
  <c r="I32" i="2"/>
  <c r="J31" i="2"/>
  <c r="I30" i="2"/>
  <c r="J29" i="2"/>
  <c r="F29" i="2"/>
  <c r="I28" i="2"/>
  <c r="J27" i="2"/>
  <c r="G35" i="2"/>
  <c r="H39" i="2" s="1"/>
  <c r="F35" i="2" l="1"/>
  <c r="H38" i="2" s="1"/>
  <c r="G42" i="2"/>
  <c r="G52" i="2" s="1"/>
  <c r="M55" i="2"/>
  <c r="H11" i="4" s="1"/>
  <c r="I29" i="2"/>
  <c r="I33" i="2"/>
  <c r="I27" i="2"/>
  <c r="I31" i="2"/>
  <c r="J19" i="4"/>
  <c r="J20" i="4"/>
  <c r="J21" i="4"/>
  <c r="J22" i="4"/>
  <c r="J23" i="4"/>
  <c r="J24" i="4"/>
  <c r="F37" i="2" l="1"/>
  <c r="F41" i="2" s="1"/>
  <c r="F42" i="2" s="1"/>
  <c r="H40" i="2" s="1"/>
  <c r="I35" i="2"/>
  <c r="I39" i="2"/>
  <c r="I38" i="2"/>
  <c r="I37" i="2"/>
  <c r="G54" i="2"/>
  <c r="G56" i="2" s="1"/>
  <c r="F11" i="4" s="1"/>
  <c r="H13" i="4"/>
  <c r="H14" i="4" s="1"/>
  <c r="H16" i="4" s="1"/>
  <c r="I24" i="4"/>
  <c r="H24" i="4"/>
  <c r="G24" i="4"/>
  <c r="F24" i="4"/>
  <c r="E24" i="4"/>
  <c r="I19" i="4"/>
  <c r="H19" i="4"/>
  <c r="G19" i="4"/>
  <c r="F19" i="4"/>
  <c r="E19" i="4"/>
  <c r="J18" i="4"/>
  <c r="I18" i="4"/>
  <c r="H18" i="4"/>
  <c r="G18" i="4"/>
  <c r="F18" i="4"/>
  <c r="E18" i="4"/>
  <c r="A13" i="4"/>
  <c r="A14" i="4" s="1"/>
  <c r="S12" i="4"/>
  <c r="R12" i="4"/>
  <c r="Q12" i="4"/>
  <c r="P12" i="4"/>
  <c r="O12" i="4"/>
  <c r="G58" i="2" l="1"/>
  <c r="G60" i="2" s="1"/>
  <c r="F13" i="4"/>
  <c r="F14" i="4" s="1"/>
  <c r="F16" i="4" s="1"/>
  <c r="F17" i="4"/>
  <c r="J17" i="4"/>
  <c r="I17" i="4"/>
  <c r="G17" i="4"/>
  <c r="E17" i="4"/>
  <c r="H17" i="4"/>
  <c r="H25" i="4" s="1"/>
  <c r="H26" i="4" s="1"/>
  <c r="F52" i="2" l="1"/>
  <c r="H41" i="2"/>
  <c r="H42" i="2" s="1"/>
  <c r="I42" i="2" s="1"/>
  <c r="H48" i="2" s="1"/>
  <c r="F25" i="4"/>
  <c r="H49" i="2" l="1"/>
  <c r="F26" i="4"/>
  <c r="I40" i="2"/>
  <c r="F54" i="2"/>
  <c r="F56" i="2" s="1"/>
  <c r="E11" i="4" s="1"/>
  <c r="F58" i="2" l="1"/>
  <c r="F60" i="2" s="1"/>
  <c r="I41" i="2"/>
  <c r="I49" i="2" l="1"/>
  <c r="E13" i="4"/>
  <c r="E14" i="4" l="1"/>
  <c r="E16" i="4" l="1"/>
  <c r="E25" i="4" s="1"/>
  <c r="H50" i="2"/>
  <c r="L55" i="2" s="1"/>
  <c r="I48" i="2"/>
  <c r="I11" i="4" l="1"/>
  <c r="I13" i="4" s="1"/>
  <c r="I14" i="4" s="1"/>
  <c r="I16" i="4" s="1"/>
  <c r="I25" i="4" s="1"/>
  <c r="I26" i="4" s="1"/>
  <c r="H45" i="2"/>
  <c r="I45" i="2" s="1"/>
  <c r="I50" i="2"/>
  <c r="H44" i="2" s="1"/>
  <c r="E26" i="4"/>
  <c r="H46" i="2" l="1"/>
  <c r="H52" i="2" s="1"/>
  <c r="I44" i="2"/>
  <c r="I46" i="2" s="1"/>
  <c r="H54" i="2" l="1"/>
  <c r="I54" i="2" s="1"/>
  <c r="I52" i="2"/>
  <c r="H56" i="2" l="1"/>
  <c r="N55" i="2" s="1"/>
  <c r="G11" i="4" s="1"/>
  <c r="J11" i="4" l="1"/>
  <c r="G13" i="4"/>
  <c r="I56" i="2"/>
  <c r="H58" i="2"/>
  <c r="I58" i="2" s="1"/>
  <c r="G14" i="4" l="1"/>
  <c r="J13" i="4"/>
  <c r="H60" i="2"/>
  <c r="I60" i="2" s="1"/>
  <c r="G16" i="4" l="1"/>
  <c r="G25" i="4" s="1"/>
  <c r="J25" i="4" s="1"/>
  <c r="J26" i="4" s="1"/>
  <c r="J14" i="4"/>
  <c r="J16" i="4" s="1"/>
  <c r="G26" i="4" l="1"/>
</calcChain>
</file>

<file path=xl/sharedStrings.xml><?xml version="1.0" encoding="utf-8"?>
<sst xmlns="http://schemas.openxmlformats.org/spreadsheetml/2006/main" count="116" uniqueCount="107">
  <si>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</si>
  <si>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</si>
  <si>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</si>
  <si>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</si>
  <si>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</si>
  <si>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</si>
  <si>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</si>
  <si>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 xml:space="preserve">Заказчик 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</si>
  <si>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</si>
  <si>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</si>
  <si>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</si>
  <si>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</si>
  <si>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</si>
  <si>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В том числе возвратных сумм 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</si>
  <si>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</si>
  <si>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</si>
  <si>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</si>
  <si>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Итого по Главе 2. "Основные объекты строительства"</t>
  </si>
  <si>
    <t>Глава 9. Прочие работы и затраты</t>
  </si>
  <si>
    <t>Затраты на перевозку работников 2,5%</t>
  </si>
  <si>
    <t>Итого по Главе 9. "Прочие работы и затраты"</t>
  </si>
  <si>
    <t>Итого по Главам 1-9</t>
  </si>
  <si>
    <t>Непредвиденные затраты</t>
  </si>
  <si>
    <t>МДС81-1.99 п.3.5.9.1</t>
  </si>
  <si>
    <t>Всего по сводному расчету</t>
  </si>
  <si>
    <t>Всего по сводному расчету с непредвиденными</t>
  </si>
  <si>
    <t>кол-во</t>
  </si>
  <si>
    <t>ЛС01</t>
  </si>
  <si>
    <t>ЛС02</t>
  </si>
  <si>
    <t>ЛС03</t>
  </si>
  <si>
    <t>стоимость 1шт, тыс.руб</t>
  </si>
  <si>
    <t>Удорожание в зимнее время 0,6%</t>
  </si>
  <si>
    <t>Глава 12. Проектно-изыскательские работы</t>
  </si>
  <si>
    <t>Итого по Главе 9.  Проектно-изыскательские работы</t>
  </si>
  <si>
    <t>Итого по главам 1-12</t>
  </si>
  <si>
    <t>Глава 10. Строительный контроль</t>
  </si>
  <si>
    <t>ЛС04</t>
  </si>
  <si>
    <t>Непредвиденные затраты  по объектам промышленного производства 3%</t>
  </si>
  <si>
    <t>НДС 20%</t>
  </si>
  <si>
    <t>Обменный фонд</t>
  </si>
  <si>
    <t xml:space="preserve">ГСН-81-05-02-2007 </t>
  </si>
  <si>
    <t>Постановление № 468 от 21.06.2010 г.</t>
  </si>
  <si>
    <t>«    »________________2020 г.</t>
  </si>
  <si>
    <t>"Утвержден" «    »________________2020 г.</t>
  </si>
  <si>
    <t>Монтаж однофазных приборов учета</t>
  </si>
  <si>
    <t>Монтаж трехфазных приборов учета</t>
  </si>
  <si>
    <t>Монтаж УСПД</t>
  </si>
  <si>
    <t>Монтаж трехфазных приборов учета с ТТ</t>
  </si>
  <si>
    <t>Строительный контроль 2,14%</t>
  </si>
  <si>
    <t>Итого по Главе 10. Строительный контроль</t>
  </si>
  <si>
    <t>Постановление №145 от 5.03.2007г</t>
  </si>
  <si>
    <t>Приказ ПАО Россети Северный Кавказ №527 от 25.11.2019</t>
  </si>
  <si>
    <t>П. Минтруда СССР и Госстроя СССР от 10.10.1991 № 1336-ВК/1-Д</t>
  </si>
  <si>
    <t>Премирование за ввод в действие объектов   2,45%</t>
  </si>
  <si>
    <t>(идентификатор инвестиционного проекта)</t>
  </si>
  <si>
    <t>Расчет прогнозной стоимости</t>
  </si>
  <si>
    <t>(наименование инвестиционного проекта)</t>
  </si>
  <si>
    <t>срок строительства :</t>
  </si>
  <si>
    <t>начало</t>
  </si>
  <si>
    <t xml:space="preserve">окончание </t>
  </si>
  <si>
    <t>№ п/п</t>
  </si>
  <si>
    <t xml:space="preserve">Наименование </t>
  </si>
  <si>
    <t>СМР</t>
  </si>
  <si>
    <t>Оборуд.</t>
  </si>
  <si>
    <t xml:space="preserve">прочие </t>
  </si>
  <si>
    <t xml:space="preserve">ПНР </t>
  </si>
  <si>
    <t>ПИР</t>
  </si>
  <si>
    <t>Итого</t>
  </si>
  <si>
    <t>Дек.18/</t>
  </si>
  <si>
    <t>Дек.19/</t>
  </si>
  <si>
    <t>Дек.20/</t>
  </si>
  <si>
    <t>Дек.21/</t>
  </si>
  <si>
    <t>Дек.22/</t>
  </si>
  <si>
    <t>Дек.23/</t>
  </si>
  <si>
    <t>Дек.24/</t>
  </si>
  <si>
    <t>Стоимость строительства  в базисных ценах на 01.01.2000</t>
  </si>
  <si>
    <t>Объем финансирования на 01.01.2018 (с НДС)</t>
  </si>
  <si>
    <t>Объем финансовых потребностей, определенный в текущих ценах (с НДС)</t>
  </si>
  <si>
    <t>Объем финансирования в прогнозных ценах (с НДС), в т.ч.:</t>
  </si>
  <si>
    <t>7.1</t>
  </si>
  <si>
    <t>Объем финансирования (с НДС)</t>
  </si>
  <si>
    <t>7.2</t>
  </si>
  <si>
    <t>7.3</t>
  </si>
  <si>
    <t>7.4</t>
  </si>
  <si>
    <t>7.5</t>
  </si>
  <si>
    <t>7.6</t>
  </si>
  <si>
    <t>7.7</t>
  </si>
  <si>
    <t>Объем финансовых потребностей (в прогнозных ценах с НДС)</t>
  </si>
  <si>
    <t>пир</t>
  </si>
  <si>
    <t xml:space="preserve">Сметный расчет </t>
  </si>
  <si>
    <t>пнр</t>
  </si>
  <si>
    <t xml:space="preserve"> Инвестиции в основной капитал (капитальные вложеняи)</t>
  </si>
  <si>
    <t>Объем потребностей (в прогнозных ценах без НДС)</t>
  </si>
  <si>
    <t>Сводный сметный расчет в сумме                    тыс. руб.</t>
  </si>
  <si>
    <t>Содержание службы заказчика-застройщика-5,48%</t>
  </si>
  <si>
    <t>проч.</t>
  </si>
  <si>
    <t>Затраты на прохождение государственной экспертизы 11,88%</t>
  </si>
  <si>
    <t>Составлена в ценах по состоянию на 01.01.2000г</t>
  </si>
  <si>
    <t>Индекс изменения сметной стоимости в 1 кв.2020 г. (текущие цены)</t>
  </si>
  <si>
    <t>Итого объем финансовых потребностей, определенный в текущих ценах (в ценах 1 кв.2020) (с НДС)</t>
  </si>
  <si>
    <t>Итого объем финансовых потребностей, определенный в текущих ценах (в ценах  1 кв.2020) (без НДС)</t>
  </si>
  <si>
    <t xml:space="preserve">Комплексная программа развития интеллектуального учета электроэнергии КБ Республики </t>
  </si>
  <si>
    <t xml:space="preserve">млн.руб </t>
  </si>
  <si>
    <t xml:space="preserve"> Проектно-изыскательские работы 7% от стоимости </t>
  </si>
  <si>
    <t>ПНР 1,7% от оборудования</t>
  </si>
  <si>
    <t>K_KBE1</t>
  </si>
  <si>
    <t>Программа развития интеллектуального учета электроэнергии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</si>
</sst>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00000"/>
    <numFmt numFmtId="166" formatCode="mmm\ yy"/>
    <numFmt numFmtId="167" formatCode="0_)"/>
    <numFmt numFmtId="168" formatCode="0.0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Courier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 Cyr"/>
      <charset val="204"/>
    </font>
    <font>
      <sz val="8"/>
      <name val="Times New Roman Cyr"/>
      <family val="1"/>
      <charset val="204"/>
    </font>
    <font>
      <sz val="9"/>
      <name val="Times New Roman Cyr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9" fillId="0" borderId="0"/>
    <xf numFmtId="0" fontId="2" fillId="0" borderId="0"/>
    <xf numFmtId="167" fontId="20" fillId="0" borderId="0"/>
    <xf numFmtId="0" fontId="1" fillId="0" borderId="0"/>
  </cellStyleXfs>
  <cellXfs count="157">
    <xf numFmtId="0" fontId="0" fillId="0" borderId="0" xfId="0"/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4" fillId="0" borderId="1" xfId="0" applyFont="1" applyBorder="1" applyAlignment="1">
      <alignment horizontal="right" vertical="top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top"/>
    </xf>
    <xf numFmtId="49" fontId="4" fillId="0" borderId="0" xfId="0" applyNumberFormat="1" applyFont="1" applyBorder="1" applyAlignment="1">
      <alignment horizontal="left" vertical="top"/>
    </xf>
    <xf numFmtId="0" fontId="4" fillId="0" borderId="3" xfId="0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5" fillId="0" borderId="0" xfId="0" applyFont="1"/>
    <xf numFmtId="0" fontId="4" fillId="3" borderId="2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49" fontId="4" fillId="3" borderId="2" xfId="0" applyNumberFormat="1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right" vertical="top"/>
    </xf>
    <xf numFmtId="0" fontId="4" fillId="3" borderId="0" xfId="0" applyFont="1" applyFill="1"/>
    <xf numFmtId="0" fontId="4" fillId="3" borderId="2" xfId="0" applyNumberFormat="1" applyFont="1" applyFill="1" applyBorder="1" applyAlignment="1">
      <alignment horizontal="left" vertical="top" wrapText="1"/>
    </xf>
    <xf numFmtId="164" fontId="4" fillId="0" borderId="0" xfId="0" applyNumberFormat="1" applyFont="1"/>
    <xf numFmtId="164" fontId="5" fillId="0" borderId="2" xfId="0" applyNumberFormat="1" applyFont="1" applyBorder="1" applyAlignment="1">
      <alignment horizontal="right" vertical="top" wrapText="1"/>
    </xf>
    <xf numFmtId="0" fontId="4" fillId="0" borderId="2" xfId="0" applyFont="1" applyBorder="1"/>
    <xf numFmtId="0" fontId="5" fillId="0" borderId="2" xfId="0" applyFont="1" applyBorder="1"/>
    <xf numFmtId="164" fontId="4" fillId="0" borderId="2" xfId="0" applyNumberFormat="1" applyFont="1" applyBorder="1"/>
    <xf numFmtId="164" fontId="4" fillId="3" borderId="2" xfId="0" applyNumberFormat="1" applyFont="1" applyFill="1" applyBorder="1" applyAlignment="1">
      <alignment horizontal="right" vertical="top" wrapText="1"/>
    </xf>
    <xf numFmtId="2" fontId="5" fillId="2" borderId="2" xfId="0" applyNumberFormat="1" applyFont="1" applyFill="1" applyBorder="1" applyAlignment="1">
      <alignment horizontal="right" vertical="top" wrapText="1"/>
    </xf>
    <xf numFmtId="2" fontId="4" fillId="0" borderId="2" xfId="0" applyNumberFormat="1" applyFont="1" applyBorder="1" applyAlignment="1">
      <alignment horizontal="right" vertical="top"/>
    </xf>
    <xf numFmtId="2" fontId="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/>
    </xf>
    <xf numFmtId="2" fontId="5" fillId="0" borderId="2" xfId="0" applyNumberFormat="1" applyFont="1" applyBorder="1" applyAlignment="1">
      <alignment horizontal="right" vertical="top" wrapText="1"/>
    </xf>
    <xf numFmtId="2" fontId="0" fillId="0" borderId="2" xfId="0" applyNumberFormat="1" applyBorder="1" applyAlignment="1">
      <alignment horizontal="right" vertical="top" wrapText="1"/>
    </xf>
    <xf numFmtId="164" fontId="5" fillId="0" borderId="2" xfId="0" applyNumberFormat="1" applyFont="1" applyBorder="1"/>
    <xf numFmtId="2" fontId="5" fillId="0" borderId="0" xfId="0" applyNumberFormat="1" applyFont="1"/>
    <xf numFmtId="2" fontId="4" fillId="3" borderId="2" xfId="0" applyNumberFormat="1" applyFont="1" applyFill="1" applyBorder="1" applyAlignment="1">
      <alignment horizontal="right" vertical="top"/>
    </xf>
    <xf numFmtId="2" fontId="4" fillId="3" borderId="2" xfId="0" applyNumberFormat="1" applyFont="1" applyFill="1" applyBorder="1" applyAlignment="1">
      <alignment horizontal="right" vertical="top" wrapText="1"/>
    </xf>
    <xf numFmtId="2" fontId="4" fillId="3" borderId="2" xfId="2" applyNumberFormat="1" applyFont="1" applyFill="1" applyBorder="1" applyAlignment="1">
      <alignment horizontal="right" vertical="top" wrapText="1"/>
    </xf>
    <xf numFmtId="1" fontId="4" fillId="3" borderId="2" xfId="0" applyNumberFormat="1" applyFont="1" applyFill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/>
    </xf>
    <xf numFmtId="2" fontId="4" fillId="3" borderId="0" xfId="0" applyNumberFormat="1" applyFont="1" applyFill="1"/>
    <xf numFmtId="164" fontId="4" fillId="0" borderId="0" xfId="0" applyNumberFormat="1" applyFont="1" applyAlignment="1">
      <alignment horizontal="right" vertical="top"/>
    </xf>
    <xf numFmtId="0" fontId="4" fillId="3" borderId="2" xfId="0" applyFont="1" applyFill="1" applyBorder="1" applyAlignment="1">
      <alignment horizontal="center" vertical="top"/>
    </xf>
    <xf numFmtId="49" fontId="4" fillId="3" borderId="2" xfId="0" applyNumberFormat="1" applyFont="1" applyFill="1" applyBorder="1" applyAlignment="1">
      <alignment horizontal="right" vertical="top" wrapText="1"/>
    </xf>
    <xf numFmtId="0" fontId="0" fillId="3" borderId="2" xfId="0" applyFont="1" applyFill="1" applyBorder="1" applyAlignment="1">
      <alignment vertical="top" wrapText="1"/>
    </xf>
    <xf numFmtId="0" fontId="8" fillId="3" borderId="2" xfId="0" applyFont="1" applyFill="1" applyBorder="1" applyAlignment="1">
      <alignment vertical="top" wrapText="1"/>
    </xf>
    <xf numFmtId="2" fontId="5" fillId="3" borderId="2" xfId="0" applyNumberFormat="1" applyFont="1" applyFill="1" applyBorder="1" applyAlignment="1">
      <alignment horizontal="right" vertical="top"/>
    </xf>
    <xf numFmtId="164" fontId="5" fillId="3" borderId="2" xfId="0" applyNumberFormat="1" applyFont="1" applyFill="1" applyBorder="1"/>
    <xf numFmtId="2" fontId="5" fillId="3" borderId="0" xfId="0" applyNumberFormat="1" applyFont="1" applyFill="1"/>
    <xf numFmtId="0" fontId="5" fillId="3" borderId="0" xfId="0" applyFont="1" applyFill="1"/>
    <xf numFmtId="2" fontId="4" fillId="0" borderId="0" xfId="0" applyNumberFormat="1" applyFont="1"/>
    <xf numFmtId="49" fontId="4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11" fillId="0" borderId="0" xfId="0" applyFont="1"/>
    <xf numFmtId="0" fontId="12" fillId="0" borderId="0" xfId="0" applyFont="1"/>
    <xf numFmtId="164" fontId="11" fillId="0" borderId="0" xfId="0" applyNumberFormat="1" applyFont="1"/>
    <xf numFmtId="0" fontId="13" fillId="0" borderId="0" xfId="0" applyFont="1"/>
    <xf numFmtId="0" fontId="16" fillId="0" borderId="0" xfId="0" applyFont="1" applyAlignment="1">
      <alignment vertical="top" wrapText="1"/>
    </xf>
    <xf numFmtId="0" fontId="16" fillId="0" borderId="0" xfId="0" applyFont="1" applyAlignment="1">
      <alignment vertical="top"/>
    </xf>
    <xf numFmtId="0" fontId="14" fillId="0" borderId="0" xfId="0" applyFont="1" applyAlignment="1">
      <alignment vertical="center" wrapText="1"/>
    </xf>
    <xf numFmtId="2" fontId="14" fillId="0" borderId="2" xfId="0" applyNumberFormat="1" applyFont="1" applyBorder="1" applyAlignment="1">
      <alignment horizontal="center" vertical="center" wrapText="1"/>
    </xf>
    <xf numFmtId="168" fontId="19" fillId="0" borderId="2" xfId="4" applyNumberFormat="1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Fill="1" applyBorder="1" applyAlignment="1">
      <alignment horizontal="center" vertical="center" wrapText="1"/>
    </xf>
    <xf numFmtId="4" fontId="14" fillId="3" borderId="2" xfId="0" applyNumberFormat="1" applyFont="1" applyFill="1" applyBorder="1" applyAlignment="1">
      <alignment horizontal="center" vertical="center" wrapText="1"/>
    </xf>
    <xf numFmtId="0" fontId="21" fillId="0" borderId="0" xfId="5" applyFont="1" applyFill="1"/>
    <xf numFmtId="0" fontId="14" fillId="0" borderId="0" xfId="5" applyFont="1" applyFill="1" applyAlignment="1">
      <alignment vertical="center" wrapText="1"/>
    </xf>
    <xf numFmtId="0" fontId="1" fillId="0" borderId="0" xfId="5" applyFill="1"/>
    <xf numFmtId="0" fontId="14" fillId="0" borderId="0" xfId="5" applyFont="1" applyFill="1" applyAlignment="1">
      <alignment horizontal="right" vertical="center" wrapText="1"/>
    </xf>
    <xf numFmtId="0" fontId="14" fillId="0" borderId="0" xfId="5" applyFont="1" applyFill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 wrapText="1"/>
    </xf>
    <xf numFmtId="165" fontId="14" fillId="0" borderId="0" xfId="5" applyNumberFormat="1" applyFont="1" applyFill="1" applyAlignment="1">
      <alignment vertical="center" wrapText="1"/>
    </xf>
    <xf numFmtId="0" fontId="18" fillId="0" borderId="0" xfId="5" applyFont="1" applyFill="1" applyAlignment="1">
      <alignment vertical="center" wrapText="1"/>
    </xf>
    <xf numFmtId="164" fontId="18" fillId="0" borderId="0" xfId="5" applyNumberFormat="1" applyFont="1" applyFill="1" applyBorder="1" applyAlignment="1">
      <alignment horizontal="center" vertical="center" wrapText="1"/>
    </xf>
    <xf numFmtId="0" fontId="18" fillId="0" borderId="0" xfId="5" applyFont="1" applyFill="1" applyBorder="1" applyAlignment="1">
      <alignment horizontal="center" vertical="center" wrapText="1"/>
    </xf>
    <xf numFmtId="0" fontId="18" fillId="0" borderId="0" xfId="5" applyFont="1" applyFill="1" applyBorder="1" applyAlignment="1">
      <alignment vertical="center" wrapText="1"/>
    </xf>
    <xf numFmtId="0" fontId="14" fillId="0" borderId="2" xfId="5" applyFont="1" applyFill="1" applyBorder="1" applyAlignment="1">
      <alignment horizontal="center" vertical="center" wrapText="1"/>
    </xf>
    <xf numFmtId="165" fontId="14" fillId="0" borderId="2" xfId="5" applyNumberFormat="1" applyFont="1" applyFill="1" applyBorder="1" applyAlignment="1">
      <alignment horizontal="center" vertical="center" wrapText="1"/>
    </xf>
    <xf numFmtId="1" fontId="24" fillId="0" borderId="2" xfId="5" applyNumberFormat="1" applyFont="1" applyFill="1" applyBorder="1" applyAlignment="1" applyProtection="1">
      <alignment horizontal="center" vertical="center"/>
      <protection locked="0"/>
    </xf>
    <xf numFmtId="1" fontId="25" fillId="0" borderId="2" xfId="5" applyNumberFormat="1" applyFont="1" applyFill="1" applyBorder="1" applyAlignment="1" applyProtection="1">
      <alignment horizontal="center" vertical="center"/>
      <protection locked="0"/>
    </xf>
    <xf numFmtId="4" fontId="14" fillId="0" borderId="2" xfId="5" applyNumberFormat="1" applyFont="1" applyFill="1" applyBorder="1" applyAlignment="1">
      <alignment horizontal="center" vertical="center" wrapText="1"/>
    </xf>
    <xf numFmtId="166" fontId="24" fillId="0" borderId="2" xfId="5" applyNumberFormat="1" applyFont="1" applyFill="1" applyBorder="1" applyAlignment="1" applyProtection="1">
      <alignment horizontal="center" vertical="center"/>
      <protection locked="0"/>
    </xf>
    <xf numFmtId="166" fontId="25" fillId="0" borderId="2" xfId="5" applyNumberFormat="1" applyFont="1" applyFill="1" applyBorder="1" applyAlignment="1" applyProtection="1">
      <alignment horizontal="center" vertical="center"/>
      <protection locked="0"/>
    </xf>
    <xf numFmtId="4" fontId="14" fillId="0" borderId="3" xfId="5" applyNumberFormat="1" applyFont="1" applyFill="1" applyBorder="1" applyAlignment="1">
      <alignment horizontal="center" vertical="center" wrapText="1"/>
    </xf>
    <xf numFmtId="0" fontId="23" fillId="0" borderId="0" xfId="5" applyFont="1" applyFill="1" applyBorder="1" applyAlignment="1" applyProtection="1">
      <alignment vertical="center" wrapText="1"/>
      <protection locked="0"/>
    </xf>
    <xf numFmtId="166" fontId="24" fillId="0" borderId="0" xfId="5" applyNumberFormat="1" applyFont="1" applyFill="1" applyBorder="1" applyAlignment="1" applyProtection="1">
      <alignment horizontal="center" vertical="center"/>
      <protection locked="0"/>
    </xf>
    <xf numFmtId="166" fontId="25" fillId="0" borderId="0" xfId="5" applyNumberFormat="1" applyFont="1" applyFill="1" applyBorder="1" applyAlignment="1" applyProtection="1">
      <alignment horizontal="center" vertical="center"/>
      <protection locked="0"/>
    </xf>
    <xf numFmtId="4" fontId="14" fillId="0" borderId="6" xfId="5" applyNumberFormat="1" applyFont="1" applyFill="1" applyBorder="1" applyAlignment="1">
      <alignment horizontal="center" vertical="center" wrapText="1"/>
    </xf>
    <xf numFmtId="4" fontId="16" fillId="0" borderId="2" xfId="5" applyNumberFormat="1" applyFont="1" applyFill="1" applyBorder="1" applyAlignment="1">
      <alignment horizontal="center" vertical="center" wrapText="1"/>
    </xf>
    <xf numFmtId="4" fontId="16" fillId="0" borderId="2" xfId="2" applyNumberFormat="1" applyFont="1" applyFill="1" applyBorder="1" applyAlignment="1">
      <alignment horizontal="center" vertical="center" wrapText="1"/>
    </xf>
    <xf numFmtId="4" fontId="16" fillId="0" borderId="5" xfId="2" applyNumberFormat="1" applyFont="1" applyFill="1" applyBorder="1" applyAlignment="1">
      <alignment horizontal="center" vertical="center" wrapText="1"/>
    </xf>
    <xf numFmtId="49" fontId="14" fillId="0" borderId="2" xfId="5" applyNumberFormat="1" applyFont="1" applyFill="1" applyBorder="1" applyAlignment="1">
      <alignment horizontal="center" vertical="center" wrapText="1"/>
    </xf>
    <xf numFmtId="0" fontId="16" fillId="0" borderId="7" xfId="5" applyFont="1" applyFill="1" applyBorder="1" applyAlignment="1">
      <alignment horizontal="center" vertical="center" wrapText="1"/>
    </xf>
    <xf numFmtId="2" fontId="24" fillId="0" borderId="0" xfId="5" applyNumberFormat="1" applyFont="1" applyFill="1" applyBorder="1" applyAlignment="1" applyProtection="1">
      <alignment horizontal="center" vertical="center"/>
      <protection locked="0"/>
    </xf>
    <xf numFmtId="49" fontId="14" fillId="0" borderId="2" xfId="2" applyNumberFormat="1" applyFont="1" applyFill="1" applyBorder="1" applyAlignment="1">
      <alignment horizontal="center" vertical="center" wrapText="1"/>
    </xf>
    <xf numFmtId="4" fontId="1" fillId="0" borderId="0" xfId="5" applyNumberFormat="1" applyFill="1"/>
    <xf numFmtId="0" fontId="26" fillId="0" borderId="0" xfId="5" applyFont="1" applyFill="1" applyAlignment="1">
      <alignment vertical="center" wrapText="1"/>
    </xf>
    <xf numFmtId="0" fontId="16" fillId="0" borderId="0" xfId="5" applyFont="1" applyFill="1" applyAlignment="1">
      <alignment horizontal="center" vertical="top" wrapText="1"/>
    </xf>
    <xf numFmtId="4" fontId="27" fillId="0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49" fontId="5" fillId="0" borderId="6" xfId="0" applyNumberFormat="1" applyFont="1" applyBorder="1" applyAlignment="1">
      <alignment horizontal="left" vertical="top" wrapText="1"/>
    </xf>
    <xf numFmtId="49" fontId="5" fillId="0" borderId="7" xfId="0" applyNumberFormat="1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/>
    </xf>
    <xf numFmtId="49" fontId="5" fillId="0" borderId="6" xfId="0" applyNumberFormat="1" applyFont="1" applyBorder="1" applyAlignment="1">
      <alignment horizontal="right" vertical="top" wrapText="1"/>
    </xf>
    <xf numFmtId="49" fontId="5" fillId="0" borderId="7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top" wrapText="1"/>
    </xf>
    <xf numFmtId="0" fontId="14" fillId="0" borderId="0" xfId="5" applyFont="1" applyFill="1" applyAlignment="1">
      <alignment horizontal="left" vertical="top" wrapText="1"/>
    </xf>
    <xf numFmtId="0" fontId="15" fillId="0" borderId="0" xfId="0" applyFont="1" applyAlignment="1">
      <alignment horizontal="center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16" fillId="0" borderId="8" xfId="5" applyFont="1" applyFill="1" applyBorder="1" applyAlignment="1">
      <alignment horizontal="left" vertical="center" wrapText="1"/>
    </xf>
    <xf numFmtId="0" fontId="16" fillId="0" borderId="7" xfId="5" applyFont="1" applyFill="1" applyBorder="1" applyAlignment="1">
      <alignment horizontal="left" vertical="center" wrapText="1"/>
    </xf>
    <xf numFmtId="0" fontId="16" fillId="0" borderId="6" xfId="2" applyFont="1" applyFill="1" applyBorder="1" applyAlignment="1">
      <alignment horizontal="left" vertical="center" wrapText="1"/>
    </xf>
    <xf numFmtId="0" fontId="16" fillId="0" borderId="8" xfId="2" applyFont="1" applyFill="1" applyBorder="1" applyAlignment="1">
      <alignment horizontal="left" vertical="center" wrapText="1"/>
    </xf>
    <xf numFmtId="0" fontId="16" fillId="0" borderId="7" xfId="2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left"/>
    </xf>
    <xf numFmtId="0" fontId="14" fillId="0" borderId="6" xfId="5" applyFont="1" applyFill="1" applyBorder="1" applyAlignment="1">
      <alignment horizontal="left" vertical="center" wrapText="1"/>
    </xf>
    <xf numFmtId="0" fontId="14" fillId="0" borderId="8" xfId="5" applyFont="1" applyFill="1" applyBorder="1" applyAlignment="1">
      <alignment horizontal="left" vertical="center" wrapText="1"/>
    </xf>
    <xf numFmtId="0" fontId="14" fillId="0" borderId="7" xfId="5" applyFont="1" applyFill="1" applyBorder="1" applyAlignment="1">
      <alignment horizontal="left" vertical="center" wrapText="1"/>
    </xf>
    <xf numFmtId="0" fontId="14" fillId="0" borderId="0" xfId="5" applyFont="1" applyFill="1" applyAlignment="1">
      <alignment horizontal="right" vertical="center" wrapText="1"/>
    </xf>
    <xf numFmtId="0" fontId="14" fillId="0" borderId="1" xfId="5" applyFont="1" applyFill="1" applyBorder="1" applyAlignment="1">
      <alignment horizontal="right" vertical="center" wrapText="1"/>
    </xf>
    <xf numFmtId="0" fontId="14" fillId="0" borderId="6" xfId="5" applyFont="1" applyFill="1" applyBorder="1" applyAlignment="1">
      <alignment horizontal="center" vertical="center" wrapText="1"/>
    </xf>
    <xf numFmtId="0" fontId="14" fillId="0" borderId="8" xfId="5" applyFont="1" applyFill="1" applyBorder="1" applyAlignment="1">
      <alignment horizontal="center" vertical="center" wrapText="1"/>
    </xf>
    <xf numFmtId="0" fontId="14" fillId="0" borderId="7" xfId="5" applyFont="1" applyFill="1" applyBorder="1" applyAlignment="1">
      <alignment horizontal="center" vertical="center" wrapText="1"/>
    </xf>
    <xf numFmtId="0" fontId="23" fillId="0" borderId="3" xfId="5" applyFont="1" applyFill="1" applyBorder="1" applyAlignment="1" applyProtection="1">
      <alignment horizontal="center" vertical="center" wrapText="1"/>
      <protection locked="0"/>
    </xf>
    <xf numFmtId="0" fontId="23" fillId="0" borderId="4" xfId="5" applyFont="1" applyFill="1" applyBorder="1" applyAlignment="1" applyProtection="1">
      <alignment horizontal="center" vertical="center" wrapText="1"/>
      <protection locked="0"/>
    </xf>
    <xf numFmtId="0" fontId="23" fillId="0" borderId="5" xfId="5" applyFont="1" applyFill="1" applyBorder="1" applyAlignment="1" applyProtection="1">
      <alignment horizontal="center" vertical="center" wrapText="1"/>
      <protection locked="0"/>
    </xf>
    <xf numFmtId="0" fontId="22" fillId="0" borderId="0" xfId="5" applyFont="1" applyFill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25 2" xfId="4"/>
    <cellStyle name="Обычный 3" xfId="1"/>
    <cellStyle name="Обычный 3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tabSelected="1" topLeftCell="A31" workbookViewId="0">
      <selection activeCell="C40" sqref="C40"/>
    </sheetView>
  </sheetViews>
  <sheetFormatPr defaultColWidth="9.140625" defaultRowHeight="12.75" outlineLevelRow="1" x14ac:dyDescent="0.2"/>
  <cols>
    <col min="1" max="1" width="5" style="1" customWidth="1"/>
    <col min="2" max="2" width="17.85546875" style="2" customWidth="1"/>
    <col min="3" max="3" width="48.42578125" style="2" customWidth="1"/>
    <col min="4" max="4" width="12.42578125" style="2" customWidth="1"/>
    <col min="5" max="5" width="12.28515625" style="8" customWidth="1"/>
    <col min="6" max="6" width="13" style="8" customWidth="1"/>
    <col min="7" max="7" width="13.42578125" style="8" customWidth="1"/>
    <col min="8" max="8" width="12.5703125" style="8" customWidth="1"/>
    <col min="9" max="9" width="13.42578125" style="8" customWidth="1"/>
    <col min="10" max="10" width="12.85546875" style="5" hidden="1" customWidth="1"/>
    <col min="11" max="11" width="10.5703125" style="5" bestFit="1" customWidth="1"/>
    <col min="12" max="14" width="10.140625" style="5" customWidth="1"/>
    <col min="15" max="15" width="12.85546875" style="5" customWidth="1"/>
    <col min="16" max="16384" width="9.140625" style="5"/>
  </cols>
  <sheetData>
    <row r="1" spans="1:9" x14ac:dyDescent="0.2">
      <c r="E1" s="3"/>
      <c r="F1" s="3"/>
      <c r="G1" s="3"/>
      <c r="H1" s="3"/>
      <c r="I1" s="4" t="s">
        <v>5</v>
      </c>
    </row>
    <row r="2" spans="1:9" x14ac:dyDescent="0.2">
      <c r="B2" s="2" t="s">
        <v>7</v>
      </c>
      <c r="C2" s="13"/>
      <c r="D2" s="13"/>
      <c r="E2" s="6"/>
      <c r="F2" s="6"/>
      <c r="G2" s="6"/>
      <c r="H2" s="6"/>
      <c r="I2" s="3"/>
    </row>
    <row r="3" spans="1:9" x14ac:dyDescent="0.2">
      <c r="E3" s="7" t="s">
        <v>8</v>
      </c>
      <c r="G3" s="3"/>
      <c r="H3" s="3"/>
      <c r="I3" s="3"/>
    </row>
    <row r="4" spans="1:9" x14ac:dyDescent="0.2">
      <c r="B4" s="2" t="s">
        <v>43</v>
      </c>
      <c r="C4" s="14"/>
      <c r="D4" s="14"/>
      <c r="E4" s="3"/>
      <c r="F4" s="7"/>
      <c r="G4" s="3"/>
      <c r="H4" s="3"/>
      <c r="I4" s="3"/>
    </row>
    <row r="5" spans="1:9" x14ac:dyDescent="0.2">
      <c r="E5" s="3"/>
      <c r="F5" s="7"/>
      <c r="G5" s="3"/>
      <c r="H5" s="3"/>
      <c r="I5" s="3"/>
    </row>
    <row r="6" spans="1:9" x14ac:dyDescent="0.2">
      <c r="B6" s="2" t="s">
        <v>93</v>
      </c>
      <c r="E6" s="3"/>
      <c r="F6" s="7"/>
      <c r="G6" s="3"/>
      <c r="H6" s="3"/>
      <c r="I6" s="3"/>
    </row>
    <row r="7" spans="1:9" x14ac:dyDescent="0.2">
      <c r="B7" s="2" t="s">
        <v>13</v>
      </c>
      <c r="E7" s="3"/>
      <c r="F7" s="3"/>
      <c r="G7" s="3"/>
      <c r="H7" s="3"/>
      <c r="I7" s="3"/>
    </row>
    <row r="8" spans="1:9" x14ac:dyDescent="0.2">
      <c r="C8" s="13"/>
      <c r="D8" s="13"/>
      <c r="E8" s="6"/>
      <c r="F8" s="9"/>
      <c r="G8" s="6"/>
      <c r="H8" s="6"/>
      <c r="I8" s="3"/>
    </row>
    <row r="9" spans="1:9" x14ac:dyDescent="0.2">
      <c r="E9" s="7" t="s">
        <v>9</v>
      </c>
      <c r="G9" s="3"/>
      <c r="H9" s="3"/>
      <c r="I9" s="3"/>
    </row>
    <row r="10" spans="1:9" x14ac:dyDescent="0.2">
      <c r="E10" s="3"/>
      <c r="F10" s="7"/>
      <c r="G10" s="3"/>
      <c r="H10" s="3"/>
      <c r="I10" s="3"/>
    </row>
    <row r="11" spans="1:9" x14ac:dyDescent="0.2">
      <c r="B11" s="2" t="s">
        <v>42</v>
      </c>
      <c r="I11" s="3"/>
    </row>
    <row r="12" spans="1:9" x14ac:dyDescent="0.2">
      <c r="H12" s="3"/>
      <c r="I12" s="3"/>
    </row>
    <row r="13" spans="1:9" x14ac:dyDescent="0.2">
      <c r="E13" s="10" t="s">
        <v>6</v>
      </c>
      <c r="G13" s="3"/>
      <c r="H13" s="3"/>
      <c r="I13" s="3"/>
    </row>
    <row r="14" spans="1:9" x14ac:dyDescent="0.2">
      <c r="E14" s="11"/>
      <c r="G14" s="3"/>
      <c r="H14" s="3"/>
      <c r="I14" s="3"/>
    </row>
    <row r="15" spans="1:9" ht="25.5" customHeight="1" x14ac:dyDescent="0.2">
      <c r="A15" s="125" t="s">
        <v>101</v>
      </c>
      <c r="B15" s="125"/>
      <c r="C15" s="125"/>
      <c r="D15" s="125"/>
      <c r="E15" s="125"/>
      <c r="F15" s="125"/>
      <c r="G15" s="125"/>
      <c r="H15" s="125"/>
      <c r="I15" s="125"/>
    </row>
    <row r="16" spans="1:9" x14ac:dyDescent="0.2">
      <c r="E16" s="12" t="s">
        <v>0</v>
      </c>
      <c r="G16" s="3"/>
      <c r="H16" s="3"/>
      <c r="I16" s="3"/>
    </row>
    <row r="17" spans="1:11" x14ac:dyDescent="0.2">
      <c r="I17" s="3"/>
    </row>
    <row r="18" spans="1:11" x14ac:dyDescent="0.2">
      <c r="B18" s="2" t="s">
        <v>97</v>
      </c>
      <c r="E18" s="11"/>
      <c r="F18" s="3"/>
      <c r="G18" s="3"/>
      <c r="H18" s="3"/>
      <c r="I18" s="3"/>
    </row>
    <row r="19" spans="1:11" x14ac:dyDescent="0.2">
      <c r="E19" s="11"/>
      <c r="F19" s="3"/>
      <c r="G19" s="3"/>
      <c r="H19" s="3"/>
      <c r="I19" s="3"/>
    </row>
    <row r="20" spans="1:11" x14ac:dyDescent="0.2">
      <c r="E20" s="3"/>
      <c r="F20" s="3"/>
      <c r="G20" s="3"/>
      <c r="H20" s="3"/>
      <c r="I20" s="3"/>
    </row>
    <row r="21" spans="1:11" ht="12.75" customHeight="1" x14ac:dyDescent="0.2">
      <c r="A21" s="124" t="s">
        <v>1</v>
      </c>
      <c r="B21" s="126" t="s">
        <v>10</v>
      </c>
      <c r="C21" s="126" t="s">
        <v>11</v>
      </c>
      <c r="D21" s="127" t="s">
        <v>26</v>
      </c>
      <c r="E21" s="130" t="s">
        <v>14</v>
      </c>
      <c r="F21" s="130"/>
      <c r="G21" s="130"/>
      <c r="H21" s="130"/>
      <c r="I21" s="124" t="s">
        <v>15</v>
      </c>
      <c r="J21" s="121" t="s">
        <v>30</v>
      </c>
    </row>
    <row r="22" spans="1:11" ht="12.75" customHeight="1" x14ac:dyDescent="0.2">
      <c r="A22" s="124"/>
      <c r="B22" s="126"/>
      <c r="C22" s="126"/>
      <c r="D22" s="128"/>
      <c r="E22" s="124" t="s">
        <v>12</v>
      </c>
      <c r="F22" s="124" t="s">
        <v>2</v>
      </c>
      <c r="G22" s="124" t="s">
        <v>3</v>
      </c>
      <c r="H22" s="124" t="s">
        <v>4</v>
      </c>
      <c r="I22" s="124"/>
      <c r="J22" s="122"/>
    </row>
    <row r="23" spans="1:11" x14ac:dyDescent="0.2">
      <c r="A23" s="124"/>
      <c r="B23" s="126"/>
      <c r="C23" s="126"/>
      <c r="D23" s="128"/>
      <c r="E23" s="124"/>
      <c r="F23" s="124"/>
      <c r="G23" s="124"/>
      <c r="H23" s="124"/>
      <c r="I23" s="124"/>
      <c r="J23" s="122"/>
    </row>
    <row r="24" spans="1:11" x14ac:dyDescent="0.2">
      <c r="A24" s="124"/>
      <c r="B24" s="126"/>
      <c r="C24" s="126"/>
      <c r="D24" s="129"/>
      <c r="E24" s="124"/>
      <c r="F24" s="124"/>
      <c r="G24" s="124"/>
      <c r="H24" s="124"/>
      <c r="I24" s="124"/>
      <c r="J24" s="122"/>
    </row>
    <row r="25" spans="1:11" x14ac:dyDescent="0.2">
      <c r="A25" s="15">
        <v>1</v>
      </c>
      <c r="B25" s="16">
        <v>2</v>
      </c>
      <c r="C25" s="16">
        <v>3</v>
      </c>
      <c r="D25" s="16"/>
      <c r="E25" s="15">
        <v>4</v>
      </c>
      <c r="F25" s="15">
        <v>5</v>
      </c>
      <c r="G25" s="15">
        <v>6</v>
      </c>
      <c r="H25" s="15">
        <v>7</v>
      </c>
      <c r="I25" s="15">
        <v>8</v>
      </c>
      <c r="J25" s="123"/>
    </row>
    <row r="26" spans="1:11" ht="17.100000000000001" customHeight="1" x14ac:dyDescent="0.2">
      <c r="A26" s="119" t="s">
        <v>16</v>
      </c>
      <c r="B26" s="120"/>
      <c r="C26" s="120"/>
      <c r="D26" s="120"/>
      <c r="E26" s="120"/>
      <c r="F26" s="120"/>
      <c r="G26" s="120"/>
      <c r="H26" s="120"/>
      <c r="I26" s="120"/>
      <c r="J26" s="32"/>
    </row>
    <row r="27" spans="1:11" s="28" customFormat="1" ht="17.100000000000001" customHeight="1" x14ac:dyDescent="0.2">
      <c r="A27" s="24">
        <v>1</v>
      </c>
      <c r="B27" s="25" t="s">
        <v>27</v>
      </c>
      <c r="C27" s="26" t="s">
        <v>44</v>
      </c>
      <c r="D27" s="47">
        <v>14766</v>
      </c>
      <c r="E27" s="44"/>
      <c r="F27" s="45">
        <f>16.72/1000*D27</f>
        <v>246.88751999999999</v>
      </c>
      <c r="G27" s="46">
        <f>1493.76/1000*D27</f>
        <v>22056.86016</v>
      </c>
      <c r="H27" s="27"/>
      <c r="I27" s="45">
        <f>E27+F27+G27</f>
        <v>22303.74768</v>
      </c>
      <c r="J27" s="35">
        <f>0.022*6.93</f>
        <v>0.15245999999999998</v>
      </c>
      <c r="K27" s="49"/>
    </row>
    <row r="28" spans="1:11" s="28" customFormat="1" ht="17.100000000000001" customHeight="1" x14ac:dyDescent="0.2">
      <c r="A28" s="24">
        <v>2</v>
      </c>
      <c r="B28" s="25"/>
      <c r="C28" s="26" t="s">
        <v>39</v>
      </c>
      <c r="D28" s="47">
        <v>739</v>
      </c>
      <c r="E28" s="44"/>
      <c r="F28" s="45"/>
      <c r="G28" s="46">
        <f>7185/4.81*D28/1000</f>
        <v>1103.8908523908526</v>
      </c>
      <c r="H28" s="27"/>
      <c r="I28" s="45">
        <f>G28</f>
        <v>1103.8908523908526</v>
      </c>
      <c r="J28" s="35"/>
      <c r="K28" s="49"/>
    </row>
    <row r="29" spans="1:11" s="28" customFormat="1" ht="17.100000000000001" customHeight="1" x14ac:dyDescent="0.2">
      <c r="A29" s="24">
        <v>3</v>
      </c>
      <c r="B29" s="25" t="s">
        <v>28</v>
      </c>
      <c r="C29" s="26" t="s">
        <v>45</v>
      </c>
      <c r="D29" s="47">
        <v>610</v>
      </c>
      <c r="E29" s="44"/>
      <c r="F29" s="45">
        <f>35.37/1000*D29</f>
        <v>21.575699999999998</v>
      </c>
      <c r="G29" s="44">
        <f>2079/1000*D29</f>
        <v>1268.19</v>
      </c>
      <c r="H29" s="44"/>
      <c r="I29" s="45">
        <f t="shared" ref="I29:I31" si="0">E29+F29+G29</f>
        <v>1289.7657000000002</v>
      </c>
      <c r="J29" s="35">
        <f>0.131*6.93</f>
        <v>0.90783000000000003</v>
      </c>
      <c r="K29" s="49"/>
    </row>
    <row r="30" spans="1:11" s="28" customFormat="1" ht="17.100000000000001" customHeight="1" x14ac:dyDescent="0.2">
      <c r="A30" s="24">
        <v>4</v>
      </c>
      <c r="B30" s="25"/>
      <c r="C30" s="26" t="s">
        <v>39</v>
      </c>
      <c r="D30" s="47">
        <v>32</v>
      </c>
      <c r="E30" s="44"/>
      <c r="F30" s="45"/>
      <c r="G30" s="46">
        <f>10000/4.81*D30/1000</f>
        <v>66.528066528066532</v>
      </c>
      <c r="H30" s="44"/>
      <c r="I30" s="45">
        <f>G30</f>
        <v>66.528066528066532</v>
      </c>
      <c r="J30" s="35"/>
      <c r="K30" s="49"/>
    </row>
    <row r="31" spans="1:11" s="28" customFormat="1" ht="17.100000000000001" customHeight="1" x14ac:dyDescent="0.2">
      <c r="A31" s="24">
        <v>5</v>
      </c>
      <c r="B31" s="25" t="s">
        <v>29</v>
      </c>
      <c r="C31" s="26" t="s">
        <v>46</v>
      </c>
      <c r="D31" s="47">
        <v>160</v>
      </c>
      <c r="E31" s="44"/>
      <c r="F31" s="45">
        <f>960.89/1000*D31</f>
        <v>153.7424</v>
      </c>
      <c r="G31" s="44">
        <f>17344.07/1000*D31</f>
        <v>2775.0511999999999</v>
      </c>
      <c r="H31" s="27"/>
      <c r="I31" s="45">
        <f t="shared" si="0"/>
        <v>2928.7936</v>
      </c>
      <c r="J31" s="35">
        <f>0.061*6.93</f>
        <v>0.42272999999999999</v>
      </c>
      <c r="K31" s="49"/>
    </row>
    <row r="32" spans="1:11" s="28" customFormat="1" ht="17.100000000000001" customHeight="1" x14ac:dyDescent="0.2">
      <c r="A32" s="24">
        <v>6</v>
      </c>
      <c r="B32" s="25"/>
      <c r="C32" s="26" t="s">
        <v>39</v>
      </c>
      <c r="D32" s="47">
        <v>9</v>
      </c>
      <c r="E32" s="44"/>
      <c r="F32" s="45"/>
      <c r="G32" s="46">
        <f>83425/4.81*D32/1000</f>
        <v>156.09667359667361</v>
      </c>
      <c r="H32" s="27"/>
      <c r="I32" s="45">
        <f>E32+F32+G32</f>
        <v>156.09667359667361</v>
      </c>
      <c r="J32" s="35"/>
      <c r="K32" s="49"/>
    </row>
    <row r="33" spans="1:13" s="28" customFormat="1" ht="17.100000000000001" customHeight="1" x14ac:dyDescent="0.2">
      <c r="A33" s="24">
        <v>7</v>
      </c>
      <c r="B33" s="25" t="s">
        <v>36</v>
      </c>
      <c r="C33" s="26" t="s">
        <v>47</v>
      </c>
      <c r="D33" s="29">
        <v>411</v>
      </c>
      <c r="E33" s="27"/>
      <c r="F33" s="45">
        <f>183.78/1000*D33</f>
        <v>75.533580000000001</v>
      </c>
      <c r="G33" s="44">
        <f>8381.84/1000*D33</f>
        <v>3444.93624</v>
      </c>
      <c r="H33" s="27"/>
      <c r="I33" s="45">
        <f t="shared" ref="I33" si="1">E33+F33+G33</f>
        <v>3520.4698199999998</v>
      </c>
      <c r="J33" s="35">
        <f>0.003*6.93</f>
        <v>2.0789999999999999E-2</v>
      </c>
      <c r="K33" s="49"/>
    </row>
    <row r="34" spans="1:13" s="28" customFormat="1" ht="17.100000000000001" customHeight="1" x14ac:dyDescent="0.2">
      <c r="A34" s="24">
        <v>8</v>
      </c>
      <c r="B34" s="25"/>
      <c r="C34" s="26" t="s">
        <v>39</v>
      </c>
      <c r="D34" s="29">
        <v>22</v>
      </c>
      <c r="E34" s="27"/>
      <c r="F34" s="111"/>
      <c r="G34" s="46">
        <f>48380/1.2/4.81*D34/1000</f>
        <v>184.40055440055446</v>
      </c>
      <c r="H34" s="27"/>
      <c r="I34" s="45">
        <f>E34+F34+G34</f>
        <v>184.40055440055446</v>
      </c>
      <c r="J34" s="35">
        <f>0.04*6.93</f>
        <v>0.2772</v>
      </c>
    </row>
    <row r="35" spans="1:13" s="23" customFormat="1" ht="16.5" customHeight="1" x14ac:dyDescent="0.2">
      <c r="A35" s="22"/>
      <c r="B35" s="112" t="s">
        <v>17</v>
      </c>
      <c r="C35" s="131"/>
      <c r="D35" s="64"/>
      <c r="E35" s="39"/>
      <c r="F35" s="39">
        <f t="shared" ref="F35:G35" si="2">SUM(F27:F34)</f>
        <v>497.73919999999998</v>
      </c>
      <c r="G35" s="39">
        <f t="shared" si="2"/>
        <v>31055.953746916148</v>
      </c>
      <c r="H35" s="39"/>
      <c r="I35" s="36">
        <f>E35+F35+G35</f>
        <v>31553.692946916148</v>
      </c>
      <c r="J35" s="33"/>
    </row>
    <row r="36" spans="1:13" x14ac:dyDescent="0.2">
      <c r="A36" s="119" t="s">
        <v>18</v>
      </c>
      <c r="B36" s="120"/>
      <c r="C36" s="120"/>
      <c r="D36" s="120"/>
      <c r="E36" s="120"/>
      <c r="F36" s="120"/>
      <c r="G36" s="120"/>
      <c r="H36" s="120"/>
      <c r="I36" s="120"/>
      <c r="J36" s="32"/>
    </row>
    <row r="37" spans="1:13" x14ac:dyDescent="0.2">
      <c r="A37" s="17">
        <v>9</v>
      </c>
      <c r="B37" s="63" t="s">
        <v>40</v>
      </c>
      <c r="C37" s="63" t="s">
        <v>31</v>
      </c>
      <c r="D37" s="63"/>
      <c r="E37" s="41"/>
      <c r="F37" s="41">
        <f>F35*0.6%</f>
        <v>2.9864351999999998</v>
      </c>
      <c r="G37" s="41"/>
      <c r="H37" s="41"/>
      <c r="I37" s="41">
        <f>E37+F37</f>
        <v>2.9864351999999998</v>
      </c>
      <c r="J37" s="32"/>
    </row>
    <row r="38" spans="1:13" x14ac:dyDescent="0.2">
      <c r="A38" s="17">
        <v>10</v>
      </c>
      <c r="B38" s="60"/>
      <c r="C38" s="60" t="s">
        <v>19</v>
      </c>
      <c r="D38" s="60"/>
      <c r="E38" s="19"/>
      <c r="F38" s="19"/>
      <c r="G38" s="19"/>
      <c r="H38" s="38">
        <f>(F35)*2.5%</f>
        <v>12.443480000000001</v>
      </c>
      <c r="I38" s="38">
        <f>H38</f>
        <v>12.443480000000001</v>
      </c>
      <c r="J38" s="32"/>
    </row>
    <row r="39" spans="1:13" x14ac:dyDescent="0.2">
      <c r="A39" s="17">
        <v>11</v>
      </c>
      <c r="B39" s="60"/>
      <c r="C39" s="60" t="s">
        <v>104</v>
      </c>
      <c r="D39" s="60"/>
      <c r="E39" s="19"/>
      <c r="F39" s="19"/>
      <c r="G39" s="19"/>
      <c r="H39" s="38">
        <f>G35*0.0166</f>
        <v>515.528832198808</v>
      </c>
      <c r="I39" s="38">
        <f>H39</f>
        <v>515.528832198808</v>
      </c>
      <c r="J39" s="32"/>
    </row>
    <row r="40" spans="1:13" ht="51" x14ac:dyDescent="0.2">
      <c r="A40" s="17">
        <v>12</v>
      </c>
      <c r="B40" s="60" t="s">
        <v>52</v>
      </c>
      <c r="C40" s="60" t="s">
        <v>53</v>
      </c>
      <c r="D40" s="60"/>
      <c r="E40" s="19"/>
      <c r="F40" s="19"/>
      <c r="G40" s="19"/>
      <c r="H40" s="38">
        <f>F42*2.45%*1.03</f>
        <v>12.635811404271999</v>
      </c>
      <c r="I40" s="38">
        <f>H40</f>
        <v>12.635811404271999</v>
      </c>
      <c r="J40" s="32"/>
    </row>
    <row r="41" spans="1:13" x14ac:dyDescent="0.2">
      <c r="A41" s="21"/>
      <c r="B41" s="112" t="s">
        <v>20</v>
      </c>
      <c r="C41" s="113"/>
      <c r="D41" s="62"/>
      <c r="E41" s="37"/>
      <c r="F41" s="37">
        <f>F37</f>
        <v>2.9864351999999998</v>
      </c>
      <c r="G41" s="19"/>
      <c r="H41" s="38">
        <f>H38+H39+H40</f>
        <v>540.60812360308</v>
      </c>
      <c r="I41" s="38">
        <f>SUM(E41:H41)</f>
        <v>543.59455880307996</v>
      </c>
      <c r="J41" s="32"/>
    </row>
    <row r="42" spans="1:13" s="23" customFormat="1" x14ac:dyDescent="0.2">
      <c r="A42" s="22"/>
      <c r="B42" s="112" t="s">
        <v>21</v>
      </c>
      <c r="C42" s="131"/>
      <c r="D42" s="64"/>
      <c r="E42" s="39"/>
      <c r="F42" s="39">
        <f>F35+F41</f>
        <v>500.7256352</v>
      </c>
      <c r="G42" s="39">
        <f>G35+G41</f>
        <v>31055.953746916148</v>
      </c>
      <c r="H42" s="39">
        <f>H35+H41</f>
        <v>540.60812360308</v>
      </c>
      <c r="I42" s="40">
        <f>SUM(E42:H42)</f>
        <v>32097.287505719229</v>
      </c>
      <c r="J42" s="42"/>
      <c r="K42" s="43"/>
    </row>
    <row r="43" spans="1:13" s="23" customFormat="1" x14ac:dyDescent="0.2">
      <c r="A43" s="119" t="s">
        <v>35</v>
      </c>
      <c r="B43" s="120"/>
      <c r="C43" s="120"/>
      <c r="D43" s="120"/>
      <c r="E43" s="120"/>
      <c r="F43" s="120"/>
      <c r="G43" s="120"/>
      <c r="H43" s="120"/>
      <c r="I43" s="120"/>
      <c r="J43" s="42"/>
      <c r="K43" s="43"/>
    </row>
    <row r="44" spans="1:13" s="58" customFormat="1" ht="38.25" x14ac:dyDescent="0.2">
      <c r="A44" s="51">
        <v>13</v>
      </c>
      <c r="B44" s="52" t="s">
        <v>41</v>
      </c>
      <c r="C44" s="53" t="s">
        <v>48</v>
      </c>
      <c r="D44" s="54"/>
      <c r="E44" s="55"/>
      <c r="F44" s="55"/>
      <c r="G44" s="55"/>
      <c r="H44" s="44">
        <f>(I42+I50)*2.14%</f>
        <v>740.67579962396678</v>
      </c>
      <c r="I44" s="45">
        <f>H44</f>
        <v>740.67579962396678</v>
      </c>
      <c r="J44" s="56"/>
      <c r="K44" s="57"/>
    </row>
    <row r="45" spans="1:13" s="58" customFormat="1" ht="51" x14ac:dyDescent="0.2">
      <c r="A45" s="51">
        <v>14</v>
      </c>
      <c r="B45" s="52" t="s">
        <v>51</v>
      </c>
      <c r="C45" s="53" t="s">
        <v>94</v>
      </c>
      <c r="D45" s="54"/>
      <c r="E45" s="55"/>
      <c r="F45" s="55"/>
      <c r="G45" s="55"/>
      <c r="H45" s="44">
        <f>(I42+H50)*5.48%</f>
        <v>1896.6838233361391</v>
      </c>
      <c r="I45" s="45">
        <f>H45</f>
        <v>1896.6838233361391</v>
      </c>
      <c r="J45" s="56"/>
      <c r="K45" s="57"/>
    </row>
    <row r="46" spans="1:13" s="23" customFormat="1" x14ac:dyDescent="0.2">
      <c r="A46" s="22"/>
      <c r="B46" s="114" t="s">
        <v>49</v>
      </c>
      <c r="C46" s="115"/>
      <c r="D46" s="64"/>
      <c r="E46" s="39"/>
      <c r="F46" s="39"/>
      <c r="G46" s="39"/>
      <c r="H46" s="39">
        <f>H44+H45</f>
        <v>2637.3596229601058</v>
      </c>
      <c r="I46" s="39">
        <f>I44+I45</f>
        <v>2637.3596229601058</v>
      </c>
      <c r="J46" s="42"/>
      <c r="K46" s="43"/>
    </row>
    <row r="47" spans="1:13" x14ac:dyDescent="0.2">
      <c r="A47" s="116" t="s">
        <v>32</v>
      </c>
      <c r="B47" s="116"/>
      <c r="C47" s="116"/>
      <c r="D47" s="116"/>
      <c r="E47" s="116"/>
      <c r="F47" s="116"/>
      <c r="G47" s="116"/>
      <c r="H47" s="116"/>
      <c r="I47" s="116"/>
      <c r="J47" s="34"/>
    </row>
    <row r="48" spans="1:13" x14ac:dyDescent="0.2">
      <c r="A48" s="21">
        <v>15</v>
      </c>
      <c r="B48" s="61"/>
      <c r="C48" s="62" t="s">
        <v>103</v>
      </c>
      <c r="D48" s="62"/>
      <c r="E48" s="19"/>
      <c r="F48" s="31"/>
      <c r="G48" s="31"/>
      <c r="H48" s="38">
        <f>I42*0.07</f>
        <v>2246.8101254003464</v>
      </c>
      <c r="I48" s="38">
        <f>H48</f>
        <v>2246.8101254003464</v>
      </c>
      <c r="J48" s="34"/>
      <c r="M48" s="59"/>
    </row>
    <row r="49" spans="1:14" ht="38.25" x14ac:dyDescent="0.2">
      <c r="A49" s="17">
        <v>16</v>
      </c>
      <c r="B49" s="60" t="s">
        <v>50</v>
      </c>
      <c r="C49" s="60" t="s">
        <v>96</v>
      </c>
      <c r="D49" s="60"/>
      <c r="E49" s="19"/>
      <c r="F49" s="19"/>
      <c r="G49" s="19"/>
      <c r="H49" s="38">
        <f>H48*0.1188</f>
        <v>266.92104289756116</v>
      </c>
      <c r="I49" s="38">
        <f>H49</f>
        <v>266.92104289756116</v>
      </c>
      <c r="J49" s="32"/>
    </row>
    <row r="50" spans="1:14" x14ac:dyDescent="0.2">
      <c r="A50" s="21"/>
      <c r="B50" s="117" t="s">
        <v>33</v>
      </c>
      <c r="C50" s="118"/>
      <c r="D50" s="62"/>
      <c r="E50" s="19"/>
      <c r="F50" s="31"/>
      <c r="G50" s="31"/>
      <c r="H50" s="40">
        <f>H48+H49</f>
        <v>2513.7311682979075</v>
      </c>
      <c r="I50" s="40">
        <f>I48+I49</f>
        <v>2513.7311682979075</v>
      </c>
      <c r="J50" s="34"/>
    </row>
    <row r="51" spans="1:14" x14ac:dyDescent="0.2">
      <c r="A51" s="21"/>
      <c r="B51" s="61"/>
      <c r="C51" s="62"/>
      <c r="D51" s="62"/>
      <c r="E51" s="19"/>
      <c r="F51" s="31"/>
      <c r="G51" s="31"/>
      <c r="H51" s="31"/>
      <c r="I51" s="40"/>
      <c r="J51" s="34"/>
    </row>
    <row r="52" spans="1:14" x14ac:dyDescent="0.2">
      <c r="A52" s="21"/>
      <c r="B52" s="117" t="s">
        <v>34</v>
      </c>
      <c r="C52" s="118"/>
      <c r="D52" s="62"/>
      <c r="E52" s="39"/>
      <c r="F52" s="39">
        <f t="shared" ref="F52:G52" si="3">F42+F44+F50</f>
        <v>500.7256352</v>
      </c>
      <c r="G52" s="39">
        <f t="shared" si="3"/>
        <v>31055.953746916148</v>
      </c>
      <c r="H52" s="39">
        <f>H42+H46+H50</f>
        <v>5691.6989148610937</v>
      </c>
      <c r="I52" s="40">
        <f>SUM(E52:H52)</f>
        <v>37248.378296977244</v>
      </c>
      <c r="J52" s="34"/>
      <c r="K52" s="30"/>
    </row>
    <row r="53" spans="1:14" x14ac:dyDescent="0.2">
      <c r="A53" s="119" t="s">
        <v>22</v>
      </c>
      <c r="B53" s="120"/>
      <c r="C53" s="120"/>
      <c r="D53" s="120"/>
      <c r="E53" s="120"/>
      <c r="F53" s="120"/>
      <c r="G53" s="120"/>
      <c r="H53" s="120"/>
      <c r="I53" s="120"/>
      <c r="J53" s="32"/>
    </row>
    <row r="54" spans="1:14" ht="25.5" x14ac:dyDescent="0.2">
      <c r="A54" s="17">
        <v>17</v>
      </c>
      <c r="B54" s="60" t="s">
        <v>23</v>
      </c>
      <c r="C54" s="60" t="s">
        <v>37</v>
      </c>
      <c r="D54" s="60"/>
      <c r="E54" s="38"/>
      <c r="F54" s="38">
        <f>F52*3%</f>
        <v>15.021769056</v>
      </c>
      <c r="G54" s="38">
        <f>G52*3%</f>
        <v>931.67861240748437</v>
      </c>
      <c r="H54" s="38">
        <f>(H52-H40)*3%+H40</f>
        <v>183.00770450797663</v>
      </c>
      <c r="I54" s="38">
        <f>SUM(E54:H54)</f>
        <v>1129.7080859714611</v>
      </c>
      <c r="J54" s="32"/>
      <c r="L54" s="5" t="s">
        <v>88</v>
      </c>
      <c r="M54" s="5" t="s">
        <v>90</v>
      </c>
      <c r="N54" s="5" t="s">
        <v>95</v>
      </c>
    </row>
    <row r="55" spans="1:14" x14ac:dyDescent="0.2">
      <c r="A55" s="21"/>
      <c r="B55" s="112"/>
      <c r="C55" s="113"/>
      <c r="D55" s="62"/>
      <c r="E55" s="19"/>
      <c r="F55" s="20"/>
      <c r="G55" s="19"/>
      <c r="H55" s="20"/>
      <c r="I55" s="20"/>
      <c r="J55" s="32"/>
      <c r="L55" s="59">
        <f>H50*1.03</f>
        <v>2589.1431033468448</v>
      </c>
      <c r="M55" s="59">
        <f>H39*1.03</f>
        <v>530.99469716477222</v>
      </c>
      <c r="N55" s="59">
        <f>H56-L55-M55</f>
        <v>2754.5688188574536</v>
      </c>
    </row>
    <row r="56" spans="1:14" s="23" customFormat="1" x14ac:dyDescent="0.2">
      <c r="A56" s="22"/>
      <c r="B56" s="61"/>
      <c r="C56" s="64" t="s">
        <v>25</v>
      </c>
      <c r="D56" s="64"/>
      <c r="E56" s="39"/>
      <c r="F56" s="39">
        <f>F52+F54</f>
        <v>515.74740425599998</v>
      </c>
      <c r="G56" s="39">
        <f>G52+G54</f>
        <v>31987.632359323634</v>
      </c>
      <c r="H56" s="39">
        <f>H52+H54</f>
        <v>5874.7066193690707</v>
      </c>
      <c r="I56" s="40">
        <f>SUM(E56:H56)</f>
        <v>38378.086382948706</v>
      </c>
      <c r="J56" s="33"/>
    </row>
    <row r="57" spans="1:14" hidden="1" outlineLevel="1" x14ac:dyDescent="0.2">
      <c r="A57" s="119"/>
      <c r="B57" s="120"/>
      <c r="C57" s="120"/>
      <c r="D57" s="120"/>
      <c r="E57" s="120"/>
      <c r="F57" s="120"/>
      <c r="G57" s="120"/>
      <c r="H57" s="120"/>
      <c r="I57" s="120"/>
      <c r="J57" s="32"/>
    </row>
    <row r="58" spans="1:14" hidden="1" outlineLevel="1" x14ac:dyDescent="0.2">
      <c r="A58" s="17">
        <v>18</v>
      </c>
      <c r="B58" s="18"/>
      <c r="C58" s="60" t="s">
        <v>38</v>
      </c>
      <c r="D58" s="60"/>
      <c r="E58" s="38"/>
      <c r="F58" s="38">
        <f>F56*0.2</f>
        <v>103.1494808512</v>
      </c>
      <c r="G58" s="38">
        <f>G56*0.2</f>
        <v>6397.5264718647268</v>
      </c>
      <c r="H58" s="38">
        <f>H56*0.2</f>
        <v>1174.9413238738141</v>
      </c>
      <c r="I58" s="38">
        <f>SUM(E58:H58)</f>
        <v>7675.6172765897409</v>
      </c>
      <c r="J58" s="32"/>
    </row>
    <row r="59" spans="1:14" hidden="1" outlineLevel="1" x14ac:dyDescent="0.2">
      <c r="A59" s="21"/>
      <c r="B59" s="112"/>
      <c r="C59" s="113"/>
      <c r="D59" s="62"/>
      <c r="E59" s="19"/>
      <c r="F59" s="20"/>
      <c r="G59" s="19"/>
      <c r="H59" s="20"/>
      <c r="I59" s="20"/>
      <c r="J59" s="32"/>
    </row>
    <row r="60" spans="1:14" hidden="1" outlineLevel="1" x14ac:dyDescent="0.2">
      <c r="A60" s="21"/>
      <c r="B60" s="112" t="s">
        <v>24</v>
      </c>
      <c r="C60" s="113"/>
      <c r="D60" s="62"/>
      <c r="E60" s="39"/>
      <c r="F60" s="39">
        <f t="shared" ref="F60:G60" si="4">F56+F58</f>
        <v>618.89688510719998</v>
      </c>
      <c r="G60" s="39">
        <f t="shared" si="4"/>
        <v>38385.158831188361</v>
      </c>
      <c r="H60" s="39">
        <f>H56+H58</f>
        <v>7049.647943242885</v>
      </c>
      <c r="I60" s="40">
        <f>SUM(E60:H60)</f>
        <v>46053.703659538442</v>
      </c>
      <c r="J60" s="32"/>
      <c r="K60" s="30"/>
    </row>
    <row r="61" spans="1:14" ht="17.25" hidden="1" customHeight="1" outlineLevel="1" x14ac:dyDescent="0.2"/>
    <row r="62" spans="1:14" ht="17.25" customHeight="1" collapsed="1" x14ac:dyDescent="0.2">
      <c r="C62" s="48"/>
      <c r="K62" s="30"/>
    </row>
    <row r="63" spans="1:14" x14ac:dyDescent="0.2">
      <c r="I63" s="50"/>
    </row>
  </sheetData>
  <mergeCells count="27">
    <mergeCell ref="B59:C59"/>
    <mergeCell ref="B60:C60"/>
    <mergeCell ref="A15:I15"/>
    <mergeCell ref="A21:A24"/>
    <mergeCell ref="B21:B24"/>
    <mergeCell ref="C21:C24"/>
    <mergeCell ref="D21:D24"/>
    <mergeCell ref="E21:H21"/>
    <mergeCell ref="I21:I24"/>
    <mergeCell ref="A43:I43"/>
    <mergeCell ref="A26:I26"/>
    <mergeCell ref="B35:C35"/>
    <mergeCell ref="A36:I36"/>
    <mergeCell ref="B41:C41"/>
    <mergeCell ref="B42:C42"/>
    <mergeCell ref="A57:I57"/>
    <mergeCell ref="J21:J25"/>
    <mergeCell ref="E22:E24"/>
    <mergeCell ref="F22:F24"/>
    <mergeCell ref="G22:G24"/>
    <mergeCell ref="H22:H24"/>
    <mergeCell ref="B55:C55"/>
    <mergeCell ref="B46:C46"/>
    <mergeCell ref="A47:I47"/>
    <mergeCell ref="B50:C50"/>
    <mergeCell ref="B52:C52"/>
    <mergeCell ref="A53:I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1"/>
  <sheetViews>
    <sheetView workbookViewId="0">
      <selection activeCell="F8" sqref="F8"/>
    </sheetView>
  </sheetViews>
  <sheetFormatPr defaultColWidth="9.140625" defaultRowHeight="15" x14ac:dyDescent="0.25"/>
  <cols>
    <col min="1" max="1" width="4" style="79" customWidth="1"/>
    <col min="2" max="2" width="36.42578125" style="79" customWidth="1"/>
    <col min="3" max="3" width="6.140625" style="79" customWidth="1"/>
    <col min="4" max="4" width="5.85546875" style="79" customWidth="1"/>
    <col min="5" max="6" width="12" style="79" customWidth="1"/>
    <col min="7" max="7" width="11" style="79" customWidth="1"/>
    <col min="8" max="8" width="11.7109375" style="79" customWidth="1"/>
    <col min="9" max="9" width="11.140625" style="79" customWidth="1"/>
    <col min="10" max="10" width="18.7109375" style="79" customWidth="1"/>
    <col min="11" max="11" width="2.42578125" style="79" customWidth="1"/>
    <col min="12" max="12" width="9.5703125" style="79" customWidth="1"/>
    <col min="13" max="13" width="7.5703125" style="79" customWidth="1"/>
    <col min="14" max="14" width="6.85546875" style="79" customWidth="1"/>
    <col min="15" max="15" width="6.7109375" style="79" customWidth="1"/>
    <col min="16" max="16" width="6.85546875" style="79" customWidth="1"/>
    <col min="17" max="17" width="7.28515625" style="79" customWidth="1"/>
    <col min="18" max="19" width="7.5703125" style="79" customWidth="1"/>
    <col min="20" max="16384" width="9.140625" style="79"/>
  </cols>
  <sheetData>
    <row r="1" spans="1:24" s="77" customFormat="1" x14ac:dyDescent="0.25"/>
    <row r="2" spans="1:24" s="77" customFormat="1" x14ac:dyDescent="0.25">
      <c r="A2" s="152" t="s">
        <v>89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24" s="65" customFormat="1" ht="12.75" x14ac:dyDescent="0.2">
      <c r="A3" s="153" t="s">
        <v>105</v>
      </c>
      <c r="B3" s="153"/>
      <c r="C3" s="153"/>
      <c r="D3" s="153"/>
      <c r="E3" s="153"/>
      <c r="F3" s="153"/>
      <c r="G3" s="153"/>
      <c r="H3" s="153"/>
      <c r="I3" s="153"/>
      <c r="J3" s="153"/>
      <c r="L3" s="66"/>
      <c r="V3" s="67"/>
      <c r="X3" s="68"/>
    </row>
    <row r="4" spans="1:24" s="65" customFormat="1" ht="12.75" x14ac:dyDescent="0.2">
      <c r="A4" s="154" t="s">
        <v>54</v>
      </c>
      <c r="B4" s="154"/>
      <c r="C4" s="154"/>
      <c r="D4" s="154"/>
      <c r="E4" s="154"/>
      <c r="F4" s="154"/>
      <c r="G4" s="154"/>
      <c r="H4" s="154"/>
      <c r="I4" s="154"/>
      <c r="J4" s="154"/>
      <c r="V4" s="67"/>
      <c r="X4" s="68"/>
    </row>
    <row r="5" spans="1:24" s="65" customFormat="1" ht="14.25" x14ac:dyDescent="0.2">
      <c r="A5" s="133" t="s">
        <v>55</v>
      </c>
      <c r="B5" s="133"/>
      <c r="C5" s="133"/>
      <c r="D5" s="133"/>
      <c r="E5" s="133"/>
      <c r="F5" s="133"/>
      <c r="G5" s="133"/>
      <c r="H5" s="133"/>
      <c r="I5" s="133"/>
      <c r="J5" s="133"/>
      <c r="K5" s="69"/>
      <c r="L5" s="69"/>
      <c r="M5" s="69"/>
      <c r="N5" s="70"/>
      <c r="O5" s="69"/>
      <c r="P5" s="69"/>
      <c r="Q5" s="69"/>
      <c r="R5" s="69"/>
      <c r="S5" s="69"/>
      <c r="V5" s="67"/>
      <c r="X5" s="68"/>
    </row>
    <row r="6" spans="1:24" s="65" customFormat="1" ht="20.25" customHeight="1" x14ac:dyDescent="0.2">
      <c r="A6" s="156" t="s">
        <v>106</v>
      </c>
      <c r="B6" s="156"/>
      <c r="C6" s="156"/>
      <c r="D6" s="156"/>
      <c r="E6" s="156"/>
      <c r="F6" s="156"/>
      <c r="G6" s="156"/>
      <c r="H6" s="156"/>
      <c r="I6" s="156"/>
      <c r="J6" s="156"/>
      <c r="K6" s="71"/>
      <c r="L6" s="71"/>
      <c r="M6" s="71"/>
      <c r="N6" s="71"/>
      <c r="O6" s="71"/>
      <c r="P6" s="71"/>
      <c r="V6" s="67"/>
      <c r="X6" s="68"/>
    </row>
    <row r="7" spans="1:24" s="65" customFormat="1" ht="10.5" customHeight="1" x14ac:dyDescent="0.2">
      <c r="A7" s="155" t="s">
        <v>56</v>
      </c>
      <c r="B7" s="155"/>
      <c r="C7" s="155"/>
      <c r="D7" s="155"/>
      <c r="E7" s="155"/>
      <c r="F7" s="155"/>
      <c r="G7" s="155"/>
      <c r="H7" s="155"/>
      <c r="I7" s="155"/>
      <c r="J7" s="155"/>
      <c r="K7" s="71"/>
      <c r="L7" s="71"/>
      <c r="M7" s="71"/>
      <c r="N7" s="71"/>
      <c r="O7" s="71"/>
      <c r="P7" s="71"/>
      <c r="V7" s="67"/>
      <c r="X7" s="68"/>
    </row>
    <row r="8" spans="1:24" ht="14.45" customHeight="1" x14ac:dyDescent="0.25">
      <c r="A8" s="144" t="s">
        <v>57</v>
      </c>
      <c r="B8" s="144"/>
      <c r="C8" s="80"/>
      <c r="D8" s="80"/>
      <c r="E8" s="81" t="s">
        <v>58</v>
      </c>
      <c r="F8" s="82">
        <v>2021</v>
      </c>
      <c r="G8" s="81" t="s">
        <v>59</v>
      </c>
      <c r="H8" s="82">
        <v>2023</v>
      </c>
      <c r="I8" s="78"/>
      <c r="J8" s="83"/>
      <c r="K8" s="78"/>
      <c r="L8" s="84"/>
      <c r="M8" s="85"/>
      <c r="N8" s="86"/>
      <c r="O8" s="87"/>
      <c r="P8" s="84"/>
      <c r="Q8" s="84"/>
      <c r="R8" s="84"/>
      <c r="S8" s="84"/>
    </row>
    <row r="9" spans="1:24" x14ac:dyDescent="0.25">
      <c r="A9" s="81"/>
      <c r="B9" s="78"/>
      <c r="C9" s="78"/>
      <c r="D9" s="78"/>
      <c r="E9" s="78"/>
      <c r="F9" s="78"/>
      <c r="G9" s="78"/>
      <c r="H9" s="145" t="s">
        <v>102</v>
      </c>
      <c r="I9" s="145"/>
      <c r="J9" s="145"/>
      <c r="K9" s="78"/>
      <c r="L9" s="84"/>
      <c r="M9" s="84"/>
      <c r="N9" s="84"/>
      <c r="O9" s="84"/>
      <c r="P9" s="84"/>
      <c r="Q9" s="84"/>
      <c r="R9" s="84"/>
      <c r="S9" s="84"/>
    </row>
    <row r="10" spans="1:24" ht="25.5" x14ac:dyDescent="0.25">
      <c r="A10" s="88" t="s">
        <v>60</v>
      </c>
      <c r="B10" s="146" t="s">
        <v>61</v>
      </c>
      <c r="C10" s="147"/>
      <c r="D10" s="148"/>
      <c r="E10" s="88" t="s">
        <v>62</v>
      </c>
      <c r="F10" s="88" t="s">
        <v>63</v>
      </c>
      <c r="G10" s="88" t="s">
        <v>64</v>
      </c>
      <c r="H10" s="88" t="s">
        <v>65</v>
      </c>
      <c r="I10" s="88" t="s">
        <v>66</v>
      </c>
      <c r="J10" s="89" t="s">
        <v>67</v>
      </c>
      <c r="K10" s="78"/>
      <c r="L10" s="149" t="s">
        <v>91</v>
      </c>
      <c r="M10" s="90" t="s">
        <v>68</v>
      </c>
      <c r="N10" s="90" t="s">
        <v>69</v>
      </c>
      <c r="O10" s="91" t="s">
        <v>70</v>
      </c>
      <c r="P10" s="91" t="s">
        <v>71</v>
      </c>
      <c r="Q10" s="91" t="s">
        <v>72</v>
      </c>
      <c r="R10" s="91" t="s">
        <v>73</v>
      </c>
      <c r="S10" s="91" t="s">
        <v>74</v>
      </c>
    </row>
    <row r="11" spans="1:24" ht="27.6" customHeight="1" x14ac:dyDescent="0.25">
      <c r="A11" s="88">
        <v>1</v>
      </c>
      <c r="B11" s="141" t="s">
        <v>75</v>
      </c>
      <c r="C11" s="142"/>
      <c r="D11" s="143"/>
      <c r="E11" s="72">
        <f>'ССР база'!F56/1000</f>
        <v>0.51574740425599996</v>
      </c>
      <c r="F11" s="72">
        <f>'ССР база'!G56/1000</f>
        <v>31.987632359323634</v>
      </c>
      <c r="G11" s="72">
        <f>'ССР база'!N55/1000</f>
        <v>2.7545688188574537</v>
      </c>
      <c r="H11" s="72">
        <f>'ССР база'!M55/1000</f>
        <v>0.53099469716477221</v>
      </c>
      <c r="I11" s="72">
        <f>'ССР база'!L55/1000</f>
        <v>2.5891431033468448</v>
      </c>
      <c r="J11" s="92">
        <f>SUM(E11:I11)</f>
        <v>38.378086382948695</v>
      </c>
      <c r="K11" s="78"/>
      <c r="L11" s="150"/>
      <c r="M11" s="93">
        <v>43071</v>
      </c>
      <c r="N11" s="93">
        <v>43437</v>
      </c>
      <c r="O11" s="94">
        <v>43803</v>
      </c>
      <c r="P11" s="94">
        <v>44170</v>
      </c>
      <c r="Q11" s="94">
        <v>44536</v>
      </c>
      <c r="R11" s="94">
        <v>44902</v>
      </c>
      <c r="S11" s="94">
        <v>45268</v>
      </c>
    </row>
    <row r="12" spans="1:24" ht="25.9" customHeight="1" x14ac:dyDescent="0.25">
      <c r="A12" s="88">
        <v>2</v>
      </c>
      <c r="B12" s="141" t="s">
        <v>98</v>
      </c>
      <c r="C12" s="142"/>
      <c r="D12" s="143"/>
      <c r="E12" s="76">
        <v>7.52</v>
      </c>
      <c r="F12" s="76">
        <v>4.8099999999999996</v>
      </c>
      <c r="G12" s="76">
        <v>9.5</v>
      </c>
      <c r="H12" s="76">
        <v>12.36</v>
      </c>
      <c r="I12" s="76">
        <v>4.32</v>
      </c>
      <c r="J12" s="92"/>
      <c r="K12" s="78"/>
      <c r="L12" s="151"/>
      <c r="M12" s="73">
        <v>100</v>
      </c>
      <c r="N12" s="73">
        <v>100</v>
      </c>
      <c r="O12" s="73">
        <f>103.6</f>
        <v>103.6</v>
      </c>
      <c r="P12" s="73">
        <f>103.7</f>
        <v>103.7</v>
      </c>
      <c r="Q12" s="73">
        <f>103.7</f>
        <v>103.7</v>
      </c>
      <c r="R12" s="73">
        <f>103.8</f>
        <v>103.8</v>
      </c>
      <c r="S12" s="73">
        <f>103.8</f>
        <v>103.8</v>
      </c>
    </row>
    <row r="13" spans="1:24" ht="31.9" customHeight="1" x14ac:dyDescent="0.25">
      <c r="A13" s="88">
        <f>A12+1</f>
        <v>3</v>
      </c>
      <c r="B13" s="141" t="s">
        <v>100</v>
      </c>
      <c r="C13" s="142"/>
      <c r="D13" s="143"/>
      <c r="E13" s="95">
        <f>E11*E12</f>
        <v>3.8784204800051194</v>
      </c>
      <c r="F13" s="95">
        <f>F11*F12</f>
        <v>153.86051164834666</v>
      </c>
      <c r="G13" s="95">
        <f>G11*G12</f>
        <v>26.168403779145812</v>
      </c>
      <c r="H13" s="95">
        <f>H11*H12</f>
        <v>6.5630944569565841</v>
      </c>
      <c r="I13" s="95">
        <f>I11*I12</f>
        <v>11.18509820645837</v>
      </c>
      <c r="J13" s="95">
        <f>SUM(E13:I13)</f>
        <v>201.65552857091257</v>
      </c>
      <c r="K13" s="78"/>
      <c r="L13" s="96"/>
      <c r="M13" s="97"/>
      <c r="N13" s="97"/>
      <c r="O13" s="98"/>
      <c r="P13" s="98"/>
      <c r="Q13" s="98"/>
      <c r="R13" s="98"/>
      <c r="S13" s="98"/>
    </row>
    <row r="14" spans="1:24" ht="29.45" customHeight="1" x14ac:dyDescent="0.25">
      <c r="A14" s="88">
        <f>A13+1</f>
        <v>4</v>
      </c>
      <c r="B14" s="141" t="s">
        <v>99</v>
      </c>
      <c r="C14" s="142"/>
      <c r="D14" s="143"/>
      <c r="E14" s="92">
        <f>E13*1.2</f>
        <v>4.6541045760061435</v>
      </c>
      <c r="F14" s="92">
        <f>F13*1.2</f>
        <v>184.632613978016</v>
      </c>
      <c r="G14" s="92">
        <f t="shared" ref="G14:I14" si="0">G13*1.2</f>
        <v>31.402084534974975</v>
      </c>
      <c r="H14" s="92">
        <f t="shared" si="0"/>
        <v>7.8757133483479009</v>
      </c>
      <c r="I14" s="92">
        <f t="shared" si="0"/>
        <v>13.422117847750044</v>
      </c>
      <c r="J14" s="95">
        <f>SUM(E14:I14)</f>
        <v>241.98663428509508</v>
      </c>
      <c r="K14" s="78"/>
      <c r="L14" s="96"/>
      <c r="M14" s="97"/>
      <c r="N14" s="97"/>
      <c r="O14" s="98"/>
      <c r="P14" s="98"/>
      <c r="Q14" s="98"/>
      <c r="R14" s="98"/>
      <c r="S14" s="98"/>
    </row>
    <row r="15" spans="1:24" ht="27.6" customHeight="1" x14ac:dyDescent="0.25">
      <c r="A15" s="88">
        <v>5</v>
      </c>
      <c r="B15" s="141" t="s">
        <v>76</v>
      </c>
      <c r="C15" s="142"/>
      <c r="D15" s="143"/>
      <c r="E15" s="92"/>
      <c r="F15" s="92"/>
      <c r="G15" s="92"/>
      <c r="H15" s="92"/>
      <c r="I15" s="99"/>
      <c r="J15" s="100">
        <v>0</v>
      </c>
      <c r="K15" s="78"/>
      <c r="L15" s="96"/>
      <c r="M15" s="97"/>
      <c r="N15" s="97"/>
      <c r="O15" s="98"/>
      <c r="P15" s="98"/>
      <c r="Q15" s="98"/>
      <c r="R15" s="98"/>
      <c r="S15" s="98"/>
    </row>
    <row r="16" spans="1:24" ht="28.15" customHeight="1" x14ac:dyDescent="0.25">
      <c r="A16" s="88">
        <v>6</v>
      </c>
      <c r="B16" s="141" t="s">
        <v>77</v>
      </c>
      <c r="C16" s="142"/>
      <c r="D16" s="143"/>
      <c r="E16" s="101">
        <f>E14-E15</f>
        <v>4.6541045760061435</v>
      </c>
      <c r="F16" s="101">
        <f t="shared" ref="F16:I16" si="1">F14-F15</f>
        <v>184.632613978016</v>
      </c>
      <c r="G16" s="101">
        <f t="shared" si="1"/>
        <v>31.402084534974975</v>
      </c>
      <c r="H16" s="101">
        <f t="shared" si="1"/>
        <v>7.8757133483479009</v>
      </c>
      <c r="I16" s="101">
        <f t="shared" si="1"/>
        <v>13.422117847750044</v>
      </c>
      <c r="J16" s="102">
        <f>J14-J15</f>
        <v>241.98663428509508</v>
      </c>
      <c r="K16" s="78"/>
      <c r="L16" s="96"/>
      <c r="M16" s="97"/>
      <c r="N16" s="97"/>
      <c r="O16" s="98"/>
      <c r="P16" s="98"/>
      <c r="Q16" s="98"/>
      <c r="R16" s="98"/>
      <c r="S16" s="98"/>
    </row>
    <row r="17" spans="1:19" x14ac:dyDescent="0.25">
      <c r="A17" s="88">
        <v>7</v>
      </c>
      <c r="B17" s="141" t="s">
        <v>78</v>
      </c>
      <c r="C17" s="142"/>
      <c r="D17" s="143"/>
      <c r="E17" s="102">
        <f t="shared" ref="E17:I17" si="2">SUM(E18:E24)</f>
        <v>100</v>
      </c>
      <c r="F17" s="102">
        <f t="shared" si="2"/>
        <v>100</v>
      </c>
      <c r="G17" s="102">
        <f t="shared" si="2"/>
        <v>100</v>
      </c>
      <c r="H17" s="102">
        <f t="shared" si="2"/>
        <v>100</v>
      </c>
      <c r="I17" s="102">
        <f t="shared" si="2"/>
        <v>100</v>
      </c>
      <c r="J17" s="102">
        <f>SUM(J18:J24)</f>
        <v>100</v>
      </c>
      <c r="K17" s="78"/>
      <c r="L17" s="96"/>
      <c r="M17" s="97"/>
      <c r="N17" s="97"/>
      <c r="O17" s="98"/>
      <c r="P17" s="98"/>
      <c r="Q17" s="98"/>
      <c r="R17" s="98"/>
      <c r="S17" s="98"/>
    </row>
    <row r="18" spans="1:19" x14ac:dyDescent="0.25">
      <c r="A18" s="103" t="s">
        <v>79</v>
      </c>
      <c r="B18" s="141" t="s">
        <v>80</v>
      </c>
      <c r="C18" s="142"/>
      <c r="D18" s="104">
        <v>2018</v>
      </c>
      <c r="E18" s="74">
        <f t="shared" ref="E18:J19" si="3">IF($H$8=$D18,100,0)</f>
        <v>0</v>
      </c>
      <c r="F18" s="74">
        <f t="shared" si="3"/>
        <v>0</v>
      </c>
      <c r="G18" s="74">
        <f t="shared" si="3"/>
        <v>0</v>
      </c>
      <c r="H18" s="74">
        <f t="shared" si="3"/>
        <v>0</v>
      </c>
      <c r="I18" s="74">
        <f t="shared" si="3"/>
        <v>0</v>
      </c>
      <c r="J18" s="110">
        <f t="shared" si="3"/>
        <v>0</v>
      </c>
      <c r="K18" s="78"/>
      <c r="L18" s="96"/>
      <c r="M18" s="97"/>
      <c r="N18" s="97"/>
      <c r="O18" s="98"/>
      <c r="P18" s="98"/>
      <c r="Q18" s="98"/>
      <c r="R18" s="98"/>
      <c r="S18" s="98"/>
    </row>
    <row r="19" spans="1:19" x14ac:dyDescent="0.25">
      <c r="A19" s="103" t="s">
        <v>81</v>
      </c>
      <c r="B19" s="141" t="s">
        <v>80</v>
      </c>
      <c r="C19" s="142"/>
      <c r="D19" s="104">
        <v>2019</v>
      </c>
      <c r="E19" s="74">
        <f t="shared" si="3"/>
        <v>0</v>
      </c>
      <c r="F19" s="74">
        <f t="shared" si="3"/>
        <v>0</v>
      </c>
      <c r="G19" s="74">
        <f t="shared" si="3"/>
        <v>0</v>
      </c>
      <c r="H19" s="74">
        <f t="shared" si="3"/>
        <v>0</v>
      </c>
      <c r="I19" s="74">
        <f t="shared" si="3"/>
        <v>0</v>
      </c>
      <c r="J19" s="110">
        <f t="shared" si="3"/>
        <v>0</v>
      </c>
      <c r="K19" s="78"/>
      <c r="L19" s="96"/>
      <c r="M19" s="105"/>
      <c r="N19" s="97"/>
      <c r="O19" s="98"/>
      <c r="P19" s="98"/>
      <c r="Q19" s="98"/>
      <c r="R19" s="98"/>
      <c r="S19" s="98"/>
    </row>
    <row r="20" spans="1:19" x14ac:dyDescent="0.25">
      <c r="A20" s="103" t="s">
        <v>82</v>
      </c>
      <c r="B20" s="141" t="s">
        <v>80</v>
      </c>
      <c r="C20" s="142"/>
      <c r="D20" s="104">
        <v>2020</v>
      </c>
      <c r="E20" s="74">
        <v>0</v>
      </c>
      <c r="F20" s="74">
        <v>0</v>
      </c>
      <c r="G20" s="74">
        <v>0</v>
      </c>
      <c r="H20" s="74">
        <v>0</v>
      </c>
      <c r="I20" s="74">
        <v>0</v>
      </c>
      <c r="J20" s="110">
        <f>IF($H$8=$D20,100,0)</f>
        <v>0</v>
      </c>
      <c r="K20" s="78"/>
      <c r="L20" s="96"/>
      <c r="M20" s="97"/>
      <c r="N20" s="97"/>
      <c r="O20" s="98"/>
      <c r="P20" s="98"/>
      <c r="Q20" s="98"/>
      <c r="R20" s="98"/>
      <c r="S20" s="98"/>
    </row>
    <row r="21" spans="1:19" x14ac:dyDescent="0.25">
      <c r="A21" s="103" t="s">
        <v>83</v>
      </c>
      <c r="B21" s="141" t="s">
        <v>80</v>
      </c>
      <c r="C21" s="142"/>
      <c r="D21" s="104">
        <v>2021</v>
      </c>
      <c r="E21" s="74">
        <v>32</v>
      </c>
      <c r="F21" s="74">
        <v>32</v>
      </c>
      <c r="G21" s="74">
        <v>32</v>
      </c>
      <c r="H21" s="74">
        <v>32</v>
      </c>
      <c r="I21" s="74">
        <v>100</v>
      </c>
      <c r="J21" s="110">
        <f>IF($H$8=$D21,100,0)</f>
        <v>0</v>
      </c>
      <c r="K21" s="78"/>
      <c r="L21" s="96"/>
      <c r="M21" s="97"/>
      <c r="N21" s="97"/>
      <c r="O21" s="98"/>
      <c r="P21" s="98"/>
      <c r="Q21" s="98"/>
      <c r="R21" s="98"/>
      <c r="S21" s="98"/>
    </row>
    <row r="22" spans="1:19" x14ac:dyDescent="0.25">
      <c r="A22" s="103" t="s">
        <v>84</v>
      </c>
      <c r="B22" s="141" t="s">
        <v>80</v>
      </c>
      <c r="C22" s="142"/>
      <c r="D22" s="104">
        <v>2022</v>
      </c>
      <c r="E22" s="74">
        <v>24</v>
      </c>
      <c r="F22" s="74">
        <v>24</v>
      </c>
      <c r="G22" s="74">
        <v>24</v>
      </c>
      <c r="H22" s="74">
        <v>24</v>
      </c>
      <c r="I22" s="74">
        <v>0</v>
      </c>
      <c r="J22" s="110">
        <f>IF($H$8=$D22,100,0)</f>
        <v>0</v>
      </c>
      <c r="K22" s="78"/>
      <c r="L22" s="96"/>
      <c r="M22" s="97"/>
      <c r="N22" s="97"/>
      <c r="O22" s="98"/>
      <c r="P22" s="98"/>
      <c r="Q22" s="98"/>
      <c r="R22" s="98"/>
      <c r="S22" s="98"/>
    </row>
    <row r="23" spans="1:19" x14ac:dyDescent="0.25">
      <c r="A23" s="103" t="s">
        <v>85</v>
      </c>
      <c r="B23" s="141" t="s">
        <v>80</v>
      </c>
      <c r="C23" s="142"/>
      <c r="D23" s="104">
        <v>2023</v>
      </c>
      <c r="E23" s="74">
        <v>44</v>
      </c>
      <c r="F23" s="74">
        <v>44</v>
      </c>
      <c r="G23" s="74">
        <v>44</v>
      </c>
      <c r="H23" s="74">
        <v>44</v>
      </c>
      <c r="I23" s="74">
        <v>0</v>
      </c>
      <c r="J23" s="110">
        <f>IF($H$8=$D23,100,0)</f>
        <v>100</v>
      </c>
      <c r="K23" s="78"/>
      <c r="L23" s="96"/>
      <c r="M23" s="97"/>
      <c r="N23" s="97"/>
      <c r="O23" s="98"/>
      <c r="P23" s="98"/>
      <c r="Q23" s="98"/>
      <c r="R23" s="98"/>
      <c r="S23" s="98"/>
    </row>
    <row r="24" spans="1:19" x14ac:dyDescent="0.25">
      <c r="A24" s="103" t="s">
        <v>86</v>
      </c>
      <c r="B24" s="141" t="s">
        <v>80</v>
      </c>
      <c r="C24" s="142"/>
      <c r="D24" s="104">
        <v>2024</v>
      </c>
      <c r="E24" s="74">
        <f t="shared" ref="E24:H24" si="4">IF($H$8=$D24,100,0)</f>
        <v>0</v>
      </c>
      <c r="F24" s="74">
        <f t="shared" si="4"/>
        <v>0</v>
      </c>
      <c r="G24" s="74">
        <f t="shared" si="4"/>
        <v>0</v>
      </c>
      <c r="H24" s="74">
        <f t="shared" si="4"/>
        <v>0</v>
      </c>
      <c r="I24" s="74">
        <f>IF($H$8=$D24,100,0)</f>
        <v>0</v>
      </c>
      <c r="J24" s="110">
        <f>IF($H$8=$D24,100,0)</f>
        <v>0</v>
      </c>
      <c r="K24" s="78"/>
      <c r="L24" s="96"/>
      <c r="M24" s="97"/>
      <c r="N24" s="97"/>
      <c r="O24" s="98"/>
      <c r="P24" s="98"/>
      <c r="Q24" s="98"/>
      <c r="R24" s="98"/>
      <c r="S24" s="98"/>
    </row>
    <row r="25" spans="1:19" ht="27.6" customHeight="1" x14ac:dyDescent="0.25">
      <c r="A25" s="103"/>
      <c r="B25" s="134" t="s">
        <v>87</v>
      </c>
      <c r="C25" s="135"/>
      <c r="D25" s="136"/>
      <c r="E25" s="75">
        <f t="shared" ref="E25:I25" si="5">E15+E16*((E18/E17*($M$12+100)/200+E19/E17*($N$12+100)/200*$M$12/100+E20/E17*($O$12+100)/200*$N$12/100*$M$12/100+E21/E17*($P$12+100)/200*$O$12/100*$N$12/100*$M$12/100+E22/E17*($Q$12+100)/200*$P$12/100*$O$12/100*$N$12/100*$M$12/100+E23/E17*($R$12+100)/200*$Q$12/100*$P$12/100*$O$12/100*$N$12/100*$M$12/100+E24/E17*($S$12+100)/200*$R$12/100*$Q$12/100*$P$12/100*$O$12/100*$N$12/100*$M$12/100))</f>
        <v>5.1184574671555838</v>
      </c>
      <c r="F25" s="75">
        <f t="shared" si="5"/>
        <v>203.05392074090406</v>
      </c>
      <c r="G25" s="75">
        <f t="shared" si="5"/>
        <v>34.535157396532334</v>
      </c>
      <c r="H25" s="75">
        <f t="shared" si="5"/>
        <v>8.6614950606934986</v>
      </c>
      <c r="I25" s="75">
        <f t="shared" si="5"/>
        <v>14.162562400939024</v>
      </c>
      <c r="J25" s="75">
        <f>E25+F25+G25+H25+I25</f>
        <v>265.5315930662245</v>
      </c>
      <c r="K25" s="78"/>
      <c r="L25" s="97"/>
      <c r="M25" s="97"/>
      <c r="N25" s="98"/>
      <c r="O25" s="98"/>
      <c r="P25" s="98"/>
      <c r="Q25" s="98"/>
      <c r="R25" s="98"/>
    </row>
    <row r="26" spans="1:19" ht="25.15" customHeight="1" x14ac:dyDescent="0.25">
      <c r="A26" s="106"/>
      <c r="B26" s="137" t="s">
        <v>92</v>
      </c>
      <c r="C26" s="138"/>
      <c r="D26" s="139"/>
      <c r="E26" s="75">
        <f>E25/1.2</f>
        <v>4.265381222629653</v>
      </c>
      <c r="F26" s="75">
        <f t="shared" ref="F26:I26" si="6">F25/1.2</f>
        <v>169.21160061742006</v>
      </c>
      <c r="G26" s="75">
        <f t="shared" si="6"/>
        <v>28.779297830443614</v>
      </c>
      <c r="H26" s="75">
        <f t="shared" si="6"/>
        <v>7.2179125505779158</v>
      </c>
      <c r="I26" s="75">
        <f t="shared" si="6"/>
        <v>11.802135334115853</v>
      </c>
      <c r="J26" s="75">
        <f>J25/1.2</f>
        <v>221.27632755518709</v>
      </c>
      <c r="K26" s="78"/>
      <c r="L26" s="84"/>
      <c r="M26" s="84"/>
      <c r="N26" s="84"/>
      <c r="O26" s="84"/>
      <c r="P26" s="84"/>
      <c r="Q26" s="84"/>
      <c r="R26" s="84"/>
      <c r="S26" s="84"/>
    </row>
    <row r="27" spans="1:19" x14ac:dyDescent="0.25">
      <c r="J27" s="107"/>
      <c r="K27" s="78"/>
      <c r="L27" s="108"/>
      <c r="M27" s="84"/>
      <c r="N27" s="84"/>
      <c r="O27" s="84"/>
      <c r="P27" s="84"/>
      <c r="Q27" s="84"/>
      <c r="R27" s="84"/>
      <c r="S27" s="84"/>
    </row>
    <row r="29" spans="1:19" x14ac:dyDescent="0.25">
      <c r="A29" s="109"/>
      <c r="B29" s="132"/>
      <c r="C29" s="132"/>
      <c r="D29" s="132"/>
      <c r="E29" s="132"/>
      <c r="F29" s="132"/>
      <c r="G29" s="132"/>
      <c r="H29" s="132"/>
      <c r="I29" s="132"/>
      <c r="J29" s="132"/>
      <c r="K29" s="140"/>
      <c r="L29" s="140"/>
      <c r="M29" s="140"/>
      <c r="N29" s="140"/>
    </row>
    <row r="31" spans="1:19" x14ac:dyDescent="0.25">
      <c r="B31" s="132"/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</row>
  </sheetData>
  <mergeCells count="31">
    <mergeCell ref="A3:J3"/>
    <mergeCell ref="A4:J4"/>
    <mergeCell ref="A6:J6"/>
    <mergeCell ref="A7:J7"/>
    <mergeCell ref="A2:J2"/>
    <mergeCell ref="H9:J9"/>
    <mergeCell ref="B10:D10"/>
    <mergeCell ref="L10:L12"/>
    <mergeCell ref="B11:D11"/>
    <mergeCell ref="B12:D12"/>
    <mergeCell ref="B15:D15"/>
    <mergeCell ref="B16:D16"/>
    <mergeCell ref="B17:D17"/>
    <mergeCell ref="B18:C18"/>
    <mergeCell ref="A8:B8"/>
    <mergeCell ref="O31:S31"/>
    <mergeCell ref="A5:J5"/>
    <mergeCell ref="B25:D25"/>
    <mergeCell ref="B26:D26"/>
    <mergeCell ref="B29:J29"/>
    <mergeCell ref="K29:N29"/>
    <mergeCell ref="B31:J31"/>
    <mergeCell ref="K31:N31"/>
    <mergeCell ref="B19:C19"/>
    <mergeCell ref="B20:C20"/>
    <mergeCell ref="B21:C21"/>
    <mergeCell ref="B22:C22"/>
    <mergeCell ref="B23:C23"/>
    <mergeCell ref="B24:C24"/>
    <mergeCell ref="B13:D13"/>
    <mergeCell ref="B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ССР база</vt:lpstr>
      <vt:lpstr>УСР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Резникова Наталья Михайловна</dc:creator>
  <cp:lastModifiedBy>Саринян Карина Валерьевна</cp:lastModifiedBy>
  <cp:lastPrinted>2017-11-16T13:21:14Z</cp:lastPrinted>
  <dcterms:created xsi:type="dcterms:W3CDTF">2002-03-25T05:35:56Z</dcterms:created>
  <dcterms:modified xsi:type="dcterms:W3CDTF">2020-03-19T09:13:57Z</dcterms:modified>
</cp:coreProperties>
</file>