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отпуск'!$A$1:$F$42</definedName>
    <definedName name="_xlnm.Print_Area" localSheetId="1">'Продажа потерь'!$A$5:$D$11</definedName>
  </definedNames>
  <calcPr fullCalcOnLoad="1"/>
</workbook>
</file>

<file path=xl/sharedStrings.xml><?xml version="1.0" encoding="utf-8"?>
<sst xmlns="http://schemas.openxmlformats.org/spreadsheetml/2006/main" count="97" uniqueCount="63">
  <si>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</si>
  <si>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</si>
  <si>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</si>
  <si>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</si>
  <si>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</si>
  <si>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</si>
  <si>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</si>
  <si>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</si>
  <si>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</si>
  <si>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</si>
  <si>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</si>
  <si>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</si>
  <si>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</si>
  <si>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</si>
  <si>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</si>
  <si>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</si>
  <si>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</si>
  <si>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</si>
  <si>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</si>
  <si>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</si>
  <si>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</si>
  <si>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</si>
  <si>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</si>
  <si>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</si>
  <si>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</si>
  <si>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</si>
  <si>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</si>
  <si>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</si>
  <si>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</si>
  <si>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</si>
  <si>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</si>
  <si>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</si>
  <si>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</si>
  <si>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</si>
  <si>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</si>
  <si>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</si>
  <si>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</si>
  <si>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</si>
  <si>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</si>
  <si>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</si>
  <si>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</si>
  <si>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</si>
  <si>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</si>
  <si>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ООО "Русэнергосбыт"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</si>
  <si>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</si>
  <si>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</si>
  <si>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</si>
  <si>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</si>
  <si>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</si>
  <si>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</si>
  <si>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</si>
  <si>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</si>
  <si>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</si>
  <si>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</si>
  <si>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</si>
  <si>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</si>
  <si>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</si>
  <si>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 xml:space="preserve">          Информация раскрываемая 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</si>
  <si>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МУП "Каббалккоммунэнерго"</t>
  </si>
  <si>
    <t xml:space="preserve"> январь 2021 г.</t>
  </si>
  <si>
    <t>2120,22</t>
  </si>
  <si>
    <t xml:space="preserve">приравненное к сельскому </t>
  </si>
  <si>
    <t>=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</si>
</sst>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000"/>
  </numFmts>
  <fonts count="10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u val="single"/>
      <sz val="10"/>
      <color indexed="20"/>
      <name val="Arial Cyr"/>
      <family val="0"/>
    </font>
    <font>
      <sz val="12"/>
      <color indexed="30"/>
      <name val="Arial Cyr"/>
      <family val="0"/>
    </font>
    <font>
      <b/>
      <sz val="14"/>
      <color indexed="10"/>
      <name val="Times New Roman"/>
      <family val="1"/>
    </font>
    <font>
      <b/>
      <sz val="10"/>
      <color indexed="30"/>
      <name val="Arial Cyr"/>
      <family val="0"/>
    </font>
    <font>
      <b/>
      <sz val="12"/>
      <color indexed="30"/>
      <name val="Arial Cyr"/>
      <family val="0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b/>
      <sz val="14"/>
      <color rgb="FFFF0000"/>
      <name val="Times New Roman"/>
      <family val="1"/>
    </font>
    <font>
      <b/>
      <sz val="10"/>
      <color rgb="FF0070C0"/>
      <name val="Arial Cyr"/>
      <family val="0"/>
    </font>
    <font>
      <b/>
      <sz val="12"/>
      <color rgb="FF0070C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6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5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5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5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5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5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5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5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6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6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6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6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6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6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6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6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6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6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6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6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7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8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9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8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81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2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3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4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5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6" fontId="4" fillId="3" borderId="19">
      <alignment wrapText="1"/>
      <protection/>
    </xf>
    <xf numFmtId="0" fontId="8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7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8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9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1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3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57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4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0" fillId="56" borderId="0" xfId="0" applyFill="1" applyAlignment="1">
      <alignment/>
    </xf>
    <xf numFmtId="174" fontId="94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4" fillId="0" borderId="19" xfId="0" applyNumberFormat="1" applyFont="1" applyFill="1" applyBorder="1" applyAlignment="1" applyProtection="1">
      <alignment/>
      <protection locked="0"/>
    </xf>
    <xf numFmtId="174" fontId="94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4" fillId="0" borderId="19" xfId="0" applyNumberFormat="1" applyFont="1" applyBorder="1" applyAlignment="1" applyProtection="1">
      <alignment horizontal="right"/>
      <protection locked="0"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5" fillId="57" borderId="30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4" fillId="56" borderId="19" xfId="0" applyNumberFormat="1" applyFont="1" applyFill="1" applyBorder="1" applyAlignment="1">
      <alignment/>
    </xf>
    <xf numFmtId="174" fontId="94" fillId="56" borderId="19" xfId="0" applyNumberFormat="1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>
      <alignment/>
    </xf>
    <xf numFmtId="0" fontId="95" fillId="0" borderId="19" xfId="0" applyFont="1" applyBorder="1" applyAlignment="1" applyProtection="1">
      <alignment/>
      <protection locked="0"/>
    </xf>
    <xf numFmtId="2" fontId="95" fillId="0" borderId="19" xfId="0" applyNumberFormat="1" applyFont="1" applyFill="1" applyBorder="1" applyAlignment="1" applyProtection="1">
      <alignment/>
      <protection locked="0"/>
    </xf>
    <xf numFmtId="0" fontId="95" fillId="56" borderId="19" xfId="0" applyFont="1" applyFill="1" applyBorder="1" applyAlignment="1">
      <alignment/>
    </xf>
    <xf numFmtId="2" fontId="95" fillId="56" borderId="19" xfId="0" applyNumberFormat="1" applyFont="1" applyFill="1" applyBorder="1" applyAlignment="1">
      <alignment/>
    </xf>
    <xf numFmtId="0" fontId="95" fillId="56" borderId="19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>
      <alignment/>
    </xf>
    <xf numFmtId="174" fontId="84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77" fontId="3" fillId="57" borderId="31" xfId="0" applyNumberFormat="1" applyFont="1" applyFill="1" applyBorder="1" applyAlignment="1">
      <alignment horizontal="center" vertical="center" wrapText="1"/>
    </xf>
    <xf numFmtId="174" fontId="6" fillId="0" borderId="19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77" fontId="3" fillId="57" borderId="31" xfId="0" applyNumberFormat="1" applyFont="1" applyFill="1" applyBorder="1" applyAlignment="1">
      <alignment horizontal="center" vertical="center" wrapText="1"/>
    </xf>
    <xf numFmtId="4" fontId="96" fillId="0" borderId="19" xfId="0" applyNumberFormat="1" applyFont="1" applyBorder="1" applyAlignment="1">
      <alignment horizontal="center" vertical="center" wrapText="1"/>
    </xf>
    <xf numFmtId="4" fontId="0" fillId="56" borderId="0" xfId="0" applyNumberFormat="1" applyFill="1" applyAlignment="1">
      <alignment/>
    </xf>
    <xf numFmtId="0" fontId="5" fillId="56" borderId="19" xfId="0" applyFont="1" applyFill="1" applyBorder="1" applyAlignment="1">
      <alignment horizontal="left" wrapText="1"/>
    </xf>
    <xf numFmtId="4" fontId="6" fillId="56" borderId="19" xfId="0" applyNumberFormat="1" applyFont="1" applyFill="1" applyBorder="1" applyAlignment="1" applyProtection="1">
      <alignment/>
      <protection locked="0"/>
    </xf>
    <xf numFmtId="0" fontId="6" fillId="56" borderId="19" xfId="0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 applyProtection="1">
      <alignment horizontal="right"/>
      <protection locked="0"/>
    </xf>
    <xf numFmtId="2" fontId="5" fillId="56" borderId="19" xfId="0" applyNumberFormat="1" applyFont="1" applyFill="1" applyBorder="1" applyAlignment="1" applyProtection="1">
      <alignment horizontal="right"/>
      <protection locked="0"/>
    </xf>
    <xf numFmtId="0" fontId="5" fillId="56" borderId="19" xfId="0" applyFont="1" applyFill="1" applyBorder="1" applyAlignment="1" applyProtection="1">
      <alignment horizontal="center"/>
      <protection locked="0"/>
    </xf>
    <xf numFmtId="174" fontId="3" fillId="58" borderId="19" xfId="0" applyNumberFormat="1" applyFont="1" applyFill="1" applyBorder="1" applyAlignment="1">
      <alignment/>
    </xf>
    <xf numFmtId="174" fontId="3" fillId="58" borderId="19" xfId="0" applyNumberFormat="1" applyFont="1" applyFill="1" applyBorder="1" applyAlignment="1" applyProtection="1">
      <alignment horizontal="right" vertical="center" wrapText="1"/>
      <protection/>
    </xf>
    <xf numFmtId="0" fontId="97" fillId="58" borderId="19" xfId="0" applyFont="1" applyFill="1" applyBorder="1" applyAlignment="1" applyProtection="1">
      <alignment horizontal="right" vertical="center" wrapText="1"/>
      <protection/>
    </xf>
    <xf numFmtId="0" fontId="4" fillId="58" borderId="19" xfId="0" applyFont="1" applyFill="1" applyBorder="1" applyAlignment="1" applyProtection="1">
      <alignment horizontal="right" vertical="center" wrapText="1"/>
      <protection/>
    </xf>
    <xf numFmtId="0" fontId="4" fillId="56" borderId="19" xfId="0" applyFont="1" applyFill="1" applyBorder="1" applyAlignment="1" applyProtection="1">
      <alignment horizontal="left" vertical="center" wrapText="1"/>
      <protection/>
    </xf>
    <xf numFmtId="174" fontId="3" fillId="58" borderId="19" xfId="0" applyNumberFormat="1" applyFont="1" applyFill="1" applyBorder="1" applyAlignment="1" applyProtection="1">
      <alignment horizontal="right"/>
      <protection locked="0"/>
    </xf>
    <xf numFmtId="0" fontId="67" fillId="58" borderId="19" xfId="0" applyFont="1" applyFill="1" applyBorder="1" applyAlignment="1" applyProtection="1">
      <alignment/>
      <protection locked="0"/>
    </xf>
    <xf numFmtId="0" fontId="3" fillId="58" borderId="19" xfId="0" applyFont="1" applyFill="1" applyBorder="1" applyAlignment="1" applyProtection="1">
      <alignment horizontal="center"/>
      <protection locked="0"/>
    </xf>
    <xf numFmtId="0" fontId="5" fillId="56" borderId="0" xfId="0" applyFont="1" applyFill="1" applyAlignment="1">
      <alignment/>
    </xf>
    <xf numFmtId="174" fontId="5" fillId="56" borderId="0" xfId="0" applyNumberFormat="1" applyFont="1" applyFill="1" applyAlignment="1">
      <alignment/>
    </xf>
    <xf numFmtId="174" fontId="3" fillId="56" borderId="19" xfId="0" applyNumberFormat="1" applyFont="1" applyFill="1" applyBorder="1" applyAlignment="1">
      <alignment horizontal="center"/>
    </xf>
    <xf numFmtId="174" fontId="5" fillId="56" borderId="19" xfId="0" applyNumberFormat="1" applyFont="1" applyFill="1" applyBorder="1" applyAlignment="1" applyProtection="1">
      <alignment/>
      <protection locked="0"/>
    </xf>
    <xf numFmtId="174" fontId="3" fillId="59" borderId="19" xfId="0" applyNumberFormat="1" applyFont="1" applyFill="1" applyBorder="1" applyAlignment="1">
      <alignment/>
    </xf>
    <xf numFmtId="0" fontId="5" fillId="58" borderId="19" xfId="0" applyFont="1" applyFill="1" applyBorder="1" applyAlignment="1">
      <alignment horizontal="left" wrapText="1"/>
    </xf>
    <xf numFmtId="174" fontId="3" fillId="58" borderId="19" xfId="0" applyNumberFormat="1" applyFont="1" applyFill="1" applyBorder="1" applyAlignment="1" applyProtection="1">
      <alignment/>
      <protection locked="0"/>
    </xf>
    <xf numFmtId="0" fontId="98" fillId="58" borderId="19" xfId="0" applyFont="1" applyFill="1" applyBorder="1" applyAlignment="1">
      <alignment/>
    </xf>
    <xf numFmtId="0" fontId="3" fillId="58" borderId="19" xfId="0" applyFont="1" applyFill="1" applyBorder="1" applyAlignment="1">
      <alignment/>
    </xf>
    <xf numFmtId="177" fontId="3" fillId="57" borderId="31" xfId="0" applyNumberFormat="1" applyFont="1" applyFill="1" applyBorder="1" applyAlignment="1">
      <alignment horizontal="center" vertical="center" wrapText="1"/>
    </xf>
    <xf numFmtId="0" fontId="99" fillId="56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/>
      <protection locked="0"/>
    </xf>
    <xf numFmtId="0" fontId="3" fillId="56" borderId="19" xfId="0" applyFont="1" applyFill="1" applyBorder="1" applyAlignment="1">
      <alignment wrapText="1"/>
    </xf>
    <xf numFmtId="0" fontId="5" fillId="56" borderId="19" xfId="0" applyFont="1" applyFill="1" applyBorder="1" applyAlignment="1">
      <alignment horizontal="center"/>
    </xf>
    <xf numFmtId="174" fontId="94" fillId="56" borderId="19" xfId="0" applyNumberFormat="1" applyFont="1" applyFill="1" applyBorder="1" applyAlignment="1" applyProtection="1">
      <alignment horizontal="right"/>
      <protection locked="0"/>
    </xf>
    <xf numFmtId="176" fontId="6" fillId="56" borderId="19" xfId="0" applyNumberFormat="1" applyFont="1" applyFill="1" applyBorder="1" applyAlignment="1" applyProtection="1">
      <alignment/>
      <protection locked="0"/>
    </xf>
    <xf numFmtId="174" fontId="100" fillId="0" borderId="0" xfId="0" applyNumberFormat="1" applyFont="1" applyAlignment="1">
      <alignment/>
    </xf>
    <xf numFmtId="174" fontId="3" fillId="60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justify" wrapText="1"/>
    </xf>
    <xf numFmtId="0" fontId="31" fillId="54" borderId="30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0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0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  <xf numFmtId="174" fontId="0" fillId="0" borderId="0" xfId="0" applyNumberFormat="1" applyFont="1" applyAlignment="1">
      <alignment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R52"/>
  <sheetViews>
    <sheetView tabSelected="1" zoomScaleSheetLayoutView="100" zoomScalePageLayoutView="0" workbookViewId="0" topLeftCell="A1">
      <pane xSplit="1" ySplit="10" topLeftCell="B14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M39" sqref="M39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30.00390625" style="0" customWidth="1"/>
    <col min="5" max="5" width="26.75390625" style="0" customWidth="1"/>
    <col min="6" max="6" width="19.00390625" style="56" customWidth="1"/>
    <col min="7" max="7" width="16.375" style="0" customWidth="1"/>
    <col min="8" max="8" width="19.00390625" style="0" customWidth="1"/>
    <col min="9" max="9" width="19.625" style="0" customWidth="1"/>
    <col min="10" max="10" width="21.25390625" style="0" customWidth="1"/>
    <col min="11" max="11" width="13.375" style="0" customWidth="1"/>
    <col min="12" max="12" width="4.75390625" style="0" customWidth="1"/>
    <col min="13" max="13" width="13.375" style="0" customWidth="1"/>
    <col min="14" max="14" width="8.00390625" style="0" customWidth="1"/>
    <col min="15" max="15" width="11.25390625" style="0" customWidth="1"/>
    <col min="16" max="16" width="12.875" style="0" customWidth="1"/>
    <col min="17" max="32" width="7.75390625" style="0" customWidth="1"/>
  </cols>
  <sheetData>
    <row r="1" spans="1:10" ht="36" customHeight="1">
      <c r="A1" s="129" t="s">
        <v>57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9.75" customHeight="1" hidden="1">
      <c r="A2" s="2"/>
      <c r="B2" s="2"/>
      <c r="C2" s="2"/>
      <c r="D2" s="2"/>
      <c r="E2" s="2"/>
      <c r="F2" s="111"/>
      <c r="G2" s="2"/>
      <c r="H2" s="2"/>
      <c r="I2" s="2"/>
      <c r="J2" s="2"/>
    </row>
    <row r="3" spans="1:10" ht="15">
      <c r="A3" s="2" t="s">
        <v>52</v>
      </c>
      <c r="B3" s="2"/>
      <c r="C3" s="2"/>
      <c r="D3" s="2"/>
      <c r="E3" s="2"/>
      <c r="F3" s="111"/>
      <c r="G3" s="2"/>
      <c r="H3" s="2"/>
      <c r="I3" s="2"/>
      <c r="J3" s="2"/>
    </row>
    <row r="4" spans="1:10" ht="0.75" customHeight="1">
      <c r="A4" s="2"/>
      <c r="B4" s="2"/>
      <c r="C4" s="2"/>
      <c r="D4" s="2"/>
      <c r="E4" s="2"/>
      <c r="F4" s="111"/>
      <c r="G4" s="2"/>
      <c r="H4" s="2"/>
      <c r="I4" s="2"/>
      <c r="J4" s="2"/>
    </row>
    <row r="5" spans="1:10" ht="17.25" customHeight="1">
      <c r="A5" s="130" t="s">
        <v>30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9.5" customHeight="1">
      <c r="A6" s="15" t="s">
        <v>21</v>
      </c>
      <c r="B6" s="32" t="s">
        <v>59</v>
      </c>
      <c r="C6" s="2"/>
      <c r="D6" s="2"/>
      <c r="E6" s="34"/>
      <c r="F6" s="112"/>
      <c r="G6" s="2"/>
      <c r="H6" s="2"/>
      <c r="I6" s="2"/>
      <c r="J6" s="72"/>
    </row>
    <row r="7" spans="1:10" ht="17.25" customHeight="1">
      <c r="A7" s="2"/>
      <c r="B7" s="2"/>
      <c r="C7" s="34"/>
      <c r="D7" s="34"/>
      <c r="E7" s="34"/>
      <c r="F7" s="112"/>
      <c r="G7" s="34"/>
      <c r="H7" s="34"/>
      <c r="I7" s="34"/>
      <c r="J7" s="2"/>
    </row>
    <row r="8" spans="1:11" s="56" customFormat="1" ht="15" customHeight="1">
      <c r="A8" s="131" t="s">
        <v>0</v>
      </c>
      <c r="B8" s="133" t="s">
        <v>23</v>
      </c>
      <c r="C8" s="135" t="s">
        <v>24</v>
      </c>
      <c r="D8" s="136"/>
      <c r="E8" s="136"/>
      <c r="F8" s="136"/>
      <c r="G8" s="136"/>
      <c r="H8" s="136"/>
      <c r="I8" s="137"/>
      <c r="J8" s="77" t="s">
        <v>1</v>
      </c>
      <c r="K8" s="78"/>
    </row>
    <row r="9" spans="1:11" s="56" customFormat="1" ht="87.75" customHeight="1">
      <c r="A9" s="132"/>
      <c r="B9" s="134"/>
      <c r="C9" s="90" t="s">
        <v>49</v>
      </c>
      <c r="D9" s="120" t="s">
        <v>58</v>
      </c>
      <c r="E9" s="90" t="s">
        <v>43</v>
      </c>
      <c r="F9" s="94" t="s">
        <v>20</v>
      </c>
      <c r="G9" s="90" t="s">
        <v>36</v>
      </c>
      <c r="H9" s="90" t="s">
        <v>41</v>
      </c>
      <c r="I9" s="90" t="s">
        <v>51</v>
      </c>
      <c r="J9" s="66" t="s">
        <v>37</v>
      </c>
      <c r="K9" s="66" t="s">
        <v>39</v>
      </c>
    </row>
    <row r="10" spans="1:11" s="69" customFormat="1" ht="31.5">
      <c r="A10" s="67" t="s">
        <v>25</v>
      </c>
      <c r="B10" s="68">
        <f>B24+B25+B26+B27+B17+B35+B36+B37+B38</f>
        <v>67958.90000000001</v>
      </c>
      <c r="C10" s="68">
        <f>C24+C25+C26+C27+C17</f>
        <v>46804.662000000004</v>
      </c>
      <c r="D10" s="68"/>
      <c r="E10" s="68">
        <f>E24+E25+E26+E27+E17</f>
        <v>261.82500000000005</v>
      </c>
      <c r="F10" s="113">
        <f>F24+F25+F26+F27+F17</f>
        <v>3128.4040000000005</v>
      </c>
      <c r="G10" s="68">
        <f>G24+G25+G26+G27+G17</f>
        <v>58.651</v>
      </c>
      <c r="H10" s="68">
        <f>H24+H25+H26+H27+H17</f>
        <v>150.675</v>
      </c>
      <c r="I10" s="68">
        <f>I24+I25+I26+I27+I17+I28</f>
        <v>862.894</v>
      </c>
      <c r="J10" s="38"/>
      <c r="K10" s="38"/>
    </row>
    <row r="11" spans="1:11" ht="12.75">
      <c r="A11" s="51" t="s">
        <v>33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31.5" customHeight="1">
      <c r="A12" s="116" t="s">
        <v>40</v>
      </c>
      <c r="B12" s="117">
        <f>SUM(B13:B16)</f>
        <v>16.166</v>
      </c>
      <c r="C12" s="117">
        <f aca="true" t="shared" si="0" ref="C12:I12">SUM(C13:C16)</f>
        <v>13.063</v>
      </c>
      <c r="D12" s="117">
        <f t="shared" si="0"/>
        <v>0</v>
      </c>
      <c r="E12" s="117">
        <f t="shared" si="0"/>
        <v>0</v>
      </c>
      <c r="F12" s="117">
        <f t="shared" si="0"/>
        <v>2.9690000000000003</v>
      </c>
      <c r="G12" s="117">
        <f t="shared" si="0"/>
        <v>0.086</v>
      </c>
      <c r="H12" s="117">
        <f t="shared" si="0"/>
        <v>0</v>
      </c>
      <c r="I12" s="117">
        <f t="shared" si="0"/>
        <v>0.048</v>
      </c>
      <c r="J12" s="119"/>
      <c r="K12" s="119"/>
    </row>
    <row r="13" spans="1:14" ht="15">
      <c r="A13" s="52" t="s">
        <v>2</v>
      </c>
      <c r="B13" s="21">
        <f>SUM(C13:I13)</f>
        <v>2.887</v>
      </c>
      <c r="C13" s="30">
        <v>2.801</v>
      </c>
      <c r="D13" s="30">
        <v>0</v>
      </c>
      <c r="E13" s="39">
        <v>0</v>
      </c>
      <c r="F13" s="80">
        <v>0</v>
      </c>
      <c r="G13" s="57">
        <v>0.086</v>
      </c>
      <c r="H13" s="53">
        <v>0</v>
      </c>
      <c r="I13" s="21">
        <v>0</v>
      </c>
      <c r="J13" s="82">
        <v>1029174.9600000001</v>
      </c>
      <c r="K13" s="86">
        <v>71690.66</v>
      </c>
      <c r="N13" s="61"/>
    </row>
    <row r="14" spans="1:18" s="61" customFormat="1" ht="15">
      <c r="A14" s="52" t="s">
        <v>3</v>
      </c>
      <c r="B14" s="21">
        <f>SUM(C14:I14)</f>
        <v>0</v>
      </c>
      <c r="C14" s="30">
        <v>0</v>
      </c>
      <c r="D14" s="30">
        <v>0</v>
      </c>
      <c r="E14" s="59">
        <v>0</v>
      </c>
      <c r="F14" s="114">
        <v>0</v>
      </c>
      <c r="G14" s="58">
        <v>0</v>
      </c>
      <c r="H14" s="64">
        <v>0</v>
      </c>
      <c r="I14" s="58">
        <v>0</v>
      </c>
      <c r="J14" s="83">
        <v>1213132.5999999999</v>
      </c>
      <c r="K14" s="60" t="s">
        <v>38</v>
      </c>
      <c r="O14"/>
      <c r="P14"/>
      <c r="Q14"/>
      <c r="R14"/>
    </row>
    <row r="15" spans="1:14" ht="15.75">
      <c r="A15" s="52" t="s">
        <v>4</v>
      </c>
      <c r="B15" s="21">
        <f>SUM(C15:I15)</f>
        <v>12.934000000000001</v>
      </c>
      <c r="C15" s="30">
        <f>0.906+9.062</f>
        <v>9.968</v>
      </c>
      <c r="D15" s="30">
        <v>0</v>
      </c>
      <c r="E15" s="21">
        <v>0</v>
      </c>
      <c r="F15" s="80">
        <v>2.966</v>
      </c>
      <c r="G15" s="21">
        <v>0</v>
      </c>
      <c r="H15" s="53">
        <v>0</v>
      </c>
      <c r="I15" s="21">
        <v>0</v>
      </c>
      <c r="J15" s="82">
        <v>1378986.95</v>
      </c>
      <c r="K15" s="40" t="s">
        <v>38</v>
      </c>
      <c r="M15" s="87"/>
      <c r="N15" s="61"/>
    </row>
    <row r="16" spans="1:14" ht="15.75">
      <c r="A16" s="52" t="s">
        <v>5</v>
      </c>
      <c r="B16" s="21">
        <f>SUM(C16:I16)</f>
        <v>0.345</v>
      </c>
      <c r="C16" s="30">
        <f>0.077+0.217</f>
        <v>0.294</v>
      </c>
      <c r="D16" s="30">
        <v>0</v>
      </c>
      <c r="E16" s="21">
        <v>0</v>
      </c>
      <c r="F16" s="80">
        <v>0.003</v>
      </c>
      <c r="G16" s="21">
        <v>0</v>
      </c>
      <c r="H16" s="53">
        <v>0</v>
      </c>
      <c r="I16" s="79">
        <v>0.048</v>
      </c>
      <c r="J16" s="82">
        <v>1117022.9</v>
      </c>
      <c r="K16" s="40" t="s">
        <v>38</v>
      </c>
      <c r="M16" s="87"/>
      <c r="N16" s="61"/>
    </row>
    <row r="17" spans="1:14" ht="30.75">
      <c r="A17" s="116" t="s">
        <v>34</v>
      </c>
      <c r="B17" s="117">
        <f>SUM(B18:B21)</f>
        <v>10597.4</v>
      </c>
      <c r="C17" s="117">
        <f aca="true" t="shared" si="1" ref="C17:I17">SUM(C18:C21)</f>
        <v>8592.809</v>
      </c>
      <c r="D17" s="117">
        <f t="shared" si="1"/>
        <v>0</v>
      </c>
      <c r="E17" s="117">
        <f t="shared" si="1"/>
        <v>0</v>
      </c>
      <c r="F17" s="117">
        <f t="shared" si="1"/>
        <v>1921.337</v>
      </c>
      <c r="G17" s="117">
        <f t="shared" si="1"/>
        <v>58.651</v>
      </c>
      <c r="H17" s="117">
        <f t="shared" si="1"/>
        <v>0</v>
      </c>
      <c r="I17" s="117">
        <f t="shared" si="1"/>
        <v>24.603</v>
      </c>
      <c r="J17" s="118"/>
      <c r="K17" s="119"/>
      <c r="M17" s="88"/>
      <c r="N17" s="61"/>
    </row>
    <row r="18" spans="1:14" ht="18.75">
      <c r="A18" s="52" t="s">
        <v>2</v>
      </c>
      <c r="B18" s="21">
        <f>SUM(C18:I18)</f>
        <v>1588.651</v>
      </c>
      <c r="C18" s="57">
        <v>1530</v>
      </c>
      <c r="D18" s="57">
        <v>0</v>
      </c>
      <c r="E18" s="21">
        <v>0</v>
      </c>
      <c r="F18" s="80">
        <v>0</v>
      </c>
      <c r="G18" s="91">
        <v>58.651</v>
      </c>
      <c r="H18" s="53">
        <v>0</v>
      </c>
      <c r="I18" s="21">
        <v>0</v>
      </c>
      <c r="J18" s="84">
        <v>141.49</v>
      </c>
      <c r="K18" s="95" t="s">
        <v>60</v>
      </c>
      <c r="M18" s="87"/>
      <c r="N18" s="61"/>
    </row>
    <row r="19" spans="1:17" s="61" customFormat="1" ht="15.75">
      <c r="A19" s="52" t="s">
        <v>3</v>
      </c>
      <c r="B19" s="58">
        <f>SUM(C19:I19)</f>
        <v>0</v>
      </c>
      <c r="C19" s="62">
        <v>0</v>
      </c>
      <c r="D19" s="62">
        <v>0</v>
      </c>
      <c r="E19" s="58">
        <v>0</v>
      </c>
      <c r="F19" s="114">
        <v>0</v>
      </c>
      <c r="G19" s="21">
        <v>0</v>
      </c>
      <c r="H19" s="64">
        <v>0</v>
      </c>
      <c r="I19" s="58">
        <v>0</v>
      </c>
      <c r="J19" s="85">
        <v>180.79999999999998</v>
      </c>
      <c r="K19" s="60" t="s">
        <v>38</v>
      </c>
      <c r="M19" s="87"/>
      <c r="O19"/>
      <c r="P19" s="92"/>
      <c r="Q19"/>
    </row>
    <row r="20" spans="1:16" ht="15.75">
      <c r="A20" s="52" t="s">
        <v>4</v>
      </c>
      <c r="B20" s="21">
        <f>SUM(C20:I20)</f>
        <v>8783.938</v>
      </c>
      <c r="C20" s="30">
        <f>626.306+6238.737</f>
        <v>6865.043</v>
      </c>
      <c r="D20" s="30">
        <v>0</v>
      </c>
      <c r="E20" s="21">
        <v>0</v>
      </c>
      <c r="F20" s="80">
        <v>1918.895</v>
      </c>
      <c r="G20" s="21">
        <v>0</v>
      </c>
      <c r="H20" s="53">
        <v>0</v>
      </c>
      <c r="I20" s="21">
        <v>0</v>
      </c>
      <c r="J20" s="84">
        <v>365.53999999999996</v>
      </c>
      <c r="K20" s="40" t="s">
        <v>38</v>
      </c>
      <c r="M20" s="87"/>
      <c r="N20" s="61"/>
      <c r="P20" s="93"/>
    </row>
    <row r="21" spans="1:14" ht="15.75">
      <c r="A21" s="52" t="s">
        <v>5</v>
      </c>
      <c r="B21" s="21">
        <f>SUM(C21:I21)</f>
        <v>224.81100000000004</v>
      </c>
      <c r="C21" s="30">
        <f>49.95+147.816</f>
        <v>197.76600000000002</v>
      </c>
      <c r="D21" s="30">
        <v>0</v>
      </c>
      <c r="E21" s="21">
        <v>0</v>
      </c>
      <c r="F21" s="79">
        <v>2.442</v>
      </c>
      <c r="G21" s="21">
        <v>0</v>
      </c>
      <c r="H21" s="53">
        <v>0</v>
      </c>
      <c r="I21" s="79">
        <v>24.603</v>
      </c>
      <c r="J21" s="84">
        <v>533.25</v>
      </c>
      <c r="K21" s="40" t="s">
        <v>38</v>
      </c>
      <c r="M21" s="87"/>
      <c r="N21" s="61"/>
    </row>
    <row r="22" spans="1:16" ht="15.75">
      <c r="A22" s="65"/>
      <c r="B22" s="21"/>
      <c r="C22" s="30"/>
      <c r="D22" s="30"/>
      <c r="E22" s="21"/>
      <c r="F22" s="79"/>
      <c r="G22" s="21"/>
      <c r="H22" s="53"/>
      <c r="I22" s="63"/>
      <c r="J22" s="84"/>
      <c r="K22" s="40"/>
      <c r="M22" s="88"/>
      <c r="N22" s="61"/>
      <c r="P22" s="93"/>
    </row>
    <row r="23" spans="1:17" s="76" customFormat="1" ht="15.75">
      <c r="A23" s="75" t="s">
        <v>35</v>
      </c>
      <c r="B23" s="104">
        <f aca="true" t="shared" si="2" ref="B23:I23">SUM(B24:B27)</f>
        <v>51509.955</v>
      </c>
      <c r="C23" s="104">
        <f t="shared" si="2"/>
        <v>38211.853</v>
      </c>
      <c r="D23" s="104">
        <f t="shared" si="2"/>
        <v>256.628</v>
      </c>
      <c r="E23" s="104">
        <f t="shared" si="2"/>
        <v>261.82500000000005</v>
      </c>
      <c r="F23" s="128">
        <f t="shared" si="2"/>
        <v>1207.0670000000002</v>
      </c>
      <c r="G23" s="104">
        <f t="shared" si="2"/>
        <v>0</v>
      </c>
      <c r="H23" s="104">
        <f t="shared" si="2"/>
        <v>150.675</v>
      </c>
      <c r="I23" s="104">
        <f t="shared" si="2"/>
        <v>824.5070000000001</v>
      </c>
      <c r="J23" s="105"/>
      <c r="K23" s="106"/>
      <c r="M23" s="87"/>
      <c r="N23" s="61"/>
      <c r="O23"/>
      <c r="Q23"/>
    </row>
    <row r="24" spans="1:16" ht="15.75">
      <c r="A24" s="52" t="s">
        <v>2</v>
      </c>
      <c r="B24" s="21">
        <v>5639.272</v>
      </c>
      <c r="C24" s="74">
        <f>5024.713+267.657-C18</f>
        <v>3762.37</v>
      </c>
      <c r="D24" s="74">
        <f>218.994-D18</f>
        <v>218.994</v>
      </c>
      <c r="E24" s="36">
        <f>69.257-E18</f>
        <v>69.257</v>
      </c>
      <c r="F24" s="74">
        <v>0</v>
      </c>
      <c r="G24" s="36">
        <f>58.651-G18</f>
        <v>0</v>
      </c>
      <c r="H24" s="54">
        <v>0</v>
      </c>
      <c r="I24" s="42">
        <v>0</v>
      </c>
      <c r="J24" s="82">
        <v>2189.86</v>
      </c>
      <c r="K24" s="40" t="s">
        <v>38</v>
      </c>
      <c r="M24" s="88"/>
      <c r="N24" s="61"/>
      <c r="O24" s="89"/>
      <c r="P24" s="93"/>
    </row>
    <row r="25" spans="1:16" ht="15">
      <c r="A25" s="52" t="s">
        <v>3</v>
      </c>
      <c r="B25" s="81">
        <f>SUM(C25:I25)</f>
        <v>1091.68</v>
      </c>
      <c r="C25" s="74">
        <f>1047.867-C19</f>
        <v>1047.867</v>
      </c>
      <c r="D25" s="74">
        <v>0</v>
      </c>
      <c r="E25" s="36">
        <f>43.813-E19</f>
        <v>43.813</v>
      </c>
      <c r="F25" s="74">
        <v>0</v>
      </c>
      <c r="G25" s="41">
        <v>0</v>
      </c>
      <c r="H25" s="55">
        <v>0</v>
      </c>
      <c r="I25" s="41">
        <v>0</v>
      </c>
      <c r="J25" s="82">
        <v>2350.75</v>
      </c>
      <c r="K25" s="40" t="s">
        <v>38</v>
      </c>
      <c r="M25" s="35"/>
      <c r="N25" s="61"/>
      <c r="O25" s="89"/>
      <c r="P25" s="93"/>
    </row>
    <row r="26" spans="1:15" ht="15">
      <c r="A26" s="52" t="s">
        <v>4</v>
      </c>
      <c r="B26" s="81">
        <v>36702.728</v>
      </c>
      <c r="C26" s="74">
        <f>14339.288+18767.113-C20</f>
        <v>26241.358</v>
      </c>
      <c r="D26" s="74">
        <f>28.266-D20</f>
        <v>28.266</v>
      </c>
      <c r="E26" s="36">
        <f>85.489-E20</f>
        <v>85.489</v>
      </c>
      <c r="F26" s="74">
        <f>2665.972-F20</f>
        <v>747.0770000000002</v>
      </c>
      <c r="G26" s="41">
        <v>0</v>
      </c>
      <c r="H26" s="36">
        <f>134.895-H20</f>
        <v>134.895</v>
      </c>
      <c r="I26" s="49">
        <f>681.705-I20</f>
        <v>681.705</v>
      </c>
      <c r="J26" s="82">
        <v>2843.28</v>
      </c>
      <c r="K26" s="40" t="s">
        <v>38</v>
      </c>
      <c r="M26" s="35"/>
      <c r="N26" s="61"/>
      <c r="O26" s="89"/>
    </row>
    <row r="27" spans="1:16" ht="15">
      <c r="A27" s="52" t="s">
        <v>5</v>
      </c>
      <c r="B27" s="81">
        <v>8076.275</v>
      </c>
      <c r="C27" s="74">
        <f>4923.863+2434.161-C21</f>
        <v>7160.258000000001</v>
      </c>
      <c r="D27" s="74">
        <f>9.368-D21</f>
        <v>9.368</v>
      </c>
      <c r="E27" s="36">
        <f>63.266-E21</f>
        <v>63.266</v>
      </c>
      <c r="F27" s="74">
        <f>462.432-F21</f>
        <v>459.99</v>
      </c>
      <c r="G27" s="41">
        <v>0</v>
      </c>
      <c r="H27" s="36">
        <v>15.78</v>
      </c>
      <c r="I27" s="49">
        <f>167.405-I21</f>
        <v>142.802</v>
      </c>
      <c r="J27" s="82">
        <v>3653.5</v>
      </c>
      <c r="K27" s="40" t="s">
        <v>38</v>
      </c>
      <c r="N27" s="61"/>
      <c r="O27" s="89"/>
      <c r="P27" s="93"/>
    </row>
    <row r="28" spans="1:16" s="56" customFormat="1" ht="15.75">
      <c r="A28" s="123" t="s">
        <v>6</v>
      </c>
      <c r="B28" s="103">
        <f>B29+B31+B32+B30</f>
        <v>44162.049999999996</v>
      </c>
      <c r="C28" s="103">
        <f>C29+C30+C31+C32</f>
        <v>42696.94</v>
      </c>
      <c r="D28" s="103">
        <f aca="true" t="shared" si="3" ref="C28:I28">D29+D31+D32</f>
        <v>216.37199999999999</v>
      </c>
      <c r="E28" s="103">
        <f>E29+E30+E31+E32</f>
        <v>156.53</v>
      </c>
      <c r="F28" s="103">
        <f>F29+F30+F31+F32</f>
        <v>1078.424</v>
      </c>
      <c r="G28" s="103">
        <f>G29+G30+G31+G32</f>
        <v>0</v>
      </c>
      <c r="H28" s="103">
        <f>H29+H30+H31+H32</f>
        <v>0</v>
      </c>
      <c r="I28" s="103">
        <f>I29+I30+I31+I32</f>
        <v>13.784</v>
      </c>
      <c r="J28" s="84"/>
      <c r="K28" s="124"/>
      <c r="P28" s="96"/>
    </row>
    <row r="29" spans="1:11" s="56" customFormat="1" ht="15">
      <c r="A29" s="97" t="s">
        <v>7</v>
      </c>
      <c r="B29" s="81">
        <f>SUM(C29:I29)</f>
        <v>20272.893999999997</v>
      </c>
      <c r="C29" s="98">
        <f>6289.272+419.484+10665.151+1689.323</f>
        <v>19063.23</v>
      </c>
      <c r="D29" s="126">
        <v>130.855</v>
      </c>
      <c r="E29" s="99">
        <f>98.664+1.437</f>
        <v>100.101</v>
      </c>
      <c r="F29" s="74">
        <f>890.646+74.925</f>
        <v>965.5709999999999</v>
      </c>
      <c r="G29" s="100">
        <v>0</v>
      </c>
      <c r="H29" s="101">
        <v>0</v>
      </c>
      <c r="I29" s="125">
        <f>8.876+4.261</f>
        <v>13.137</v>
      </c>
      <c r="J29" s="86">
        <v>1779.16</v>
      </c>
      <c r="K29" s="102" t="s">
        <v>38</v>
      </c>
    </row>
    <row r="30" spans="1:11" s="56" customFormat="1" ht="15">
      <c r="A30" s="97" t="s">
        <v>61</v>
      </c>
      <c r="B30" s="81">
        <v>501.558</v>
      </c>
      <c r="C30" s="126">
        <f>421.741+52.683</f>
        <v>474.424</v>
      </c>
      <c r="D30" s="126">
        <v>0</v>
      </c>
      <c r="E30" s="99">
        <v>22.676</v>
      </c>
      <c r="F30" s="74">
        <v>3.811</v>
      </c>
      <c r="G30" s="100">
        <v>0</v>
      </c>
      <c r="H30" s="101">
        <v>0</v>
      </c>
      <c r="I30" s="125">
        <v>0.647</v>
      </c>
      <c r="J30" s="86">
        <v>1200.76</v>
      </c>
      <c r="K30" s="102" t="s">
        <v>38</v>
      </c>
    </row>
    <row r="31" spans="1:16" s="56" customFormat="1" ht="24" customHeight="1">
      <c r="A31" s="97" t="s">
        <v>8</v>
      </c>
      <c r="B31" s="81">
        <f>SUM(C31:I31)</f>
        <v>21941.458000000002</v>
      </c>
      <c r="C31" s="98">
        <f>20209.811+1526.059</f>
        <v>21735.870000000003</v>
      </c>
      <c r="D31" s="98">
        <v>85.517</v>
      </c>
      <c r="E31" s="99">
        <v>33.753</v>
      </c>
      <c r="F31" s="74">
        <v>86.318</v>
      </c>
      <c r="G31" s="100">
        <v>0</v>
      </c>
      <c r="H31" s="101">
        <v>0</v>
      </c>
      <c r="I31" s="100">
        <v>0</v>
      </c>
      <c r="J31" s="86">
        <v>1200.76</v>
      </c>
      <c r="K31" s="102" t="s">
        <v>38</v>
      </c>
      <c r="P31" s="96"/>
    </row>
    <row r="32" spans="1:16" s="56" customFormat="1" ht="15">
      <c r="A32" s="97" t="s">
        <v>9</v>
      </c>
      <c r="B32" s="81">
        <v>1446.14</v>
      </c>
      <c r="C32" s="99">
        <f>27.24+1396.176</f>
        <v>1423.416</v>
      </c>
      <c r="D32" s="99">
        <v>0</v>
      </c>
      <c r="E32" s="99">
        <v>0</v>
      </c>
      <c r="F32" s="99">
        <v>22.724</v>
      </c>
      <c r="G32" s="100">
        <v>0</v>
      </c>
      <c r="H32" s="101">
        <v>0</v>
      </c>
      <c r="I32" s="100">
        <v>0</v>
      </c>
      <c r="J32" s="86">
        <v>1200.76</v>
      </c>
      <c r="K32" s="102" t="s">
        <v>38</v>
      </c>
      <c r="P32" s="96"/>
    </row>
    <row r="33" spans="1:13" ht="15">
      <c r="A33" s="52"/>
      <c r="B33" s="107"/>
      <c r="C33" s="107"/>
      <c r="D33" s="107">
        <v>0</v>
      </c>
      <c r="E33" s="107"/>
      <c r="F33" s="107"/>
      <c r="G33" s="107"/>
      <c r="H33" s="107"/>
      <c r="I33" s="107"/>
      <c r="J33" s="107"/>
      <c r="K33" s="107"/>
      <c r="M33" s="35"/>
    </row>
    <row r="34" spans="1:16" ht="15.75">
      <c r="A34" s="70" t="s">
        <v>50</v>
      </c>
      <c r="B34" s="103">
        <f aca="true" t="shared" si="4" ref="B34:I34">SUM(B35:B38)</f>
        <v>5851.545</v>
      </c>
      <c r="C34" s="108">
        <f t="shared" si="4"/>
        <v>4811.09</v>
      </c>
      <c r="D34" s="108">
        <f t="shared" si="4"/>
        <v>0</v>
      </c>
      <c r="E34" s="108">
        <f t="shared" si="4"/>
        <v>543.256</v>
      </c>
      <c r="F34" s="108">
        <f t="shared" si="4"/>
        <v>243.84</v>
      </c>
      <c r="G34" s="108">
        <f t="shared" si="4"/>
        <v>62.096</v>
      </c>
      <c r="H34" s="108">
        <f t="shared" si="4"/>
        <v>0</v>
      </c>
      <c r="I34" s="108">
        <f t="shared" si="4"/>
        <v>191.263</v>
      </c>
      <c r="J34" s="109"/>
      <c r="K34" s="110"/>
      <c r="P34" s="93"/>
    </row>
    <row r="35" spans="1:12" ht="15">
      <c r="A35" s="52" t="s">
        <v>2</v>
      </c>
      <c r="B35" s="21">
        <v>3169.87</v>
      </c>
      <c r="C35" s="45">
        <v>2564.572</v>
      </c>
      <c r="D35" s="45">
        <v>0</v>
      </c>
      <c r="E35" s="37">
        <v>543.202</v>
      </c>
      <c r="F35" s="99">
        <v>0</v>
      </c>
      <c r="G35" s="49">
        <v>62.096</v>
      </c>
      <c r="H35" s="73">
        <v>0</v>
      </c>
      <c r="I35" s="41">
        <v>0</v>
      </c>
      <c r="J35" s="31"/>
      <c r="K35" s="40"/>
      <c r="L35" s="37"/>
    </row>
    <row r="36" spans="1:16" ht="15">
      <c r="A36" s="52" t="s">
        <v>3</v>
      </c>
      <c r="B36" s="21">
        <f>SUM(C36:I36)</f>
        <v>364.46</v>
      </c>
      <c r="C36" s="45">
        <v>364.46</v>
      </c>
      <c r="D36" s="122">
        <v>0</v>
      </c>
      <c r="E36" s="2">
        <v>0</v>
      </c>
      <c r="F36" s="99">
        <v>0</v>
      </c>
      <c r="G36" s="49">
        <v>0</v>
      </c>
      <c r="H36" s="73">
        <v>0</v>
      </c>
      <c r="I36" s="41">
        <v>0</v>
      </c>
      <c r="J36" s="31"/>
      <c r="K36" s="40"/>
      <c r="P36" s="93"/>
    </row>
    <row r="37" spans="1:16" ht="15">
      <c r="A37" s="52" t="s">
        <v>4</v>
      </c>
      <c r="B37" s="21">
        <v>2051.064</v>
      </c>
      <c r="C37" s="44">
        <f>1471.707+264.698</f>
        <v>1736.4050000000002</v>
      </c>
      <c r="D37" s="44">
        <v>0</v>
      </c>
      <c r="E37" s="37">
        <v>0.054</v>
      </c>
      <c r="F37" s="99">
        <v>186.588</v>
      </c>
      <c r="G37" s="49">
        <v>0</v>
      </c>
      <c r="H37" s="49">
        <v>0</v>
      </c>
      <c r="I37" s="49">
        <v>128.017</v>
      </c>
      <c r="J37" s="31"/>
      <c r="K37" s="40"/>
      <c r="P37" s="93"/>
    </row>
    <row r="38" spans="1:11" ht="15">
      <c r="A38" s="52" t="s">
        <v>5</v>
      </c>
      <c r="B38" s="21">
        <v>266.151</v>
      </c>
      <c r="C38" s="71">
        <f>125.928+19.725</f>
        <v>145.653</v>
      </c>
      <c r="D38" s="71">
        <v>0</v>
      </c>
      <c r="E38" s="37">
        <v>0</v>
      </c>
      <c r="F38" s="99">
        <v>57.252</v>
      </c>
      <c r="G38" s="49">
        <v>0</v>
      </c>
      <c r="H38" s="49">
        <v>0</v>
      </c>
      <c r="I38" s="49">
        <v>63.246</v>
      </c>
      <c r="J38" s="31"/>
      <c r="K38" s="40"/>
    </row>
    <row r="39" spans="1:11" ht="15.75">
      <c r="A39" s="50" t="s">
        <v>6</v>
      </c>
      <c r="B39" s="21">
        <f>B40</f>
        <v>0</v>
      </c>
      <c r="C39" s="21">
        <v>0</v>
      </c>
      <c r="D39" s="21">
        <v>0</v>
      </c>
      <c r="E39" s="21">
        <v>0</v>
      </c>
      <c r="F39" s="81">
        <v>0</v>
      </c>
      <c r="G39" s="21">
        <v>0</v>
      </c>
      <c r="H39" s="21">
        <v>0</v>
      </c>
      <c r="I39" s="21">
        <v>0</v>
      </c>
      <c r="J39" s="31"/>
      <c r="K39" s="40"/>
    </row>
    <row r="40" spans="1:11" ht="15">
      <c r="A40" s="52" t="s">
        <v>8</v>
      </c>
      <c r="B40" s="21">
        <f>SUM(C40:I40)</f>
        <v>0</v>
      </c>
      <c r="C40" s="45">
        <v>0</v>
      </c>
      <c r="D40" s="45"/>
      <c r="E40" s="37">
        <v>0</v>
      </c>
      <c r="F40" s="99">
        <v>0</v>
      </c>
      <c r="G40" s="41">
        <v>0</v>
      </c>
      <c r="H40" s="55">
        <v>0</v>
      </c>
      <c r="I40" s="41">
        <v>0</v>
      </c>
      <c r="J40" s="31"/>
      <c r="K40" s="40"/>
    </row>
    <row r="41" spans="1:11" ht="34.5" customHeight="1">
      <c r="A41" s="50" t="s">
        <v>26</v>
      </c>
      <c r="B41" s="43">
        <f>B34+B28+B23+B39</f>
        <v>101523.54999999999</v>
      </c>
      <c r="C41" s="43">
        <f aca="true" t="shared" si="5" ref="C41:I41">C34+C28+C23+C39+C17</f>
        <v>94312.692</v>
      </c>
      <c r="D41" s="43">
        <f t="shared" si="5"/>
        <v>473</v>
      </c>
      <c r="E41" s="43">
        <f t="shared" si="5"/>
        <v>961.611</v>
      </c>
      <c r="F41" s="115">
        <f t="shared" si="5"/>
        <v>4450.668</v>
      </c>
      <c r="G41" s="43">
        <f t="shared" si="5"/>
        <v>120.747</v>
      </c>
      <c r="H41" s="43">
        <f t="shared" si="5"/>
        <v>150.675</v>
      </c>
      <c r="I41" s="43">
        <f t="shared" si="5"/>
        <v>1054.1570000000002</v>
      </c>
      <c r="J41" s="4"/>
      <c r="K41" s="38"/>
    </row>
    <row r="42" spans="2:9" ht="16.5" customHeight="1">
      <c r="B42" s="35"/>
      <c r="C42" s="35"/>
      <c r="D42" s="35"/>
      <c r="E42" s="35"/>
      <c r="F42" s="35"/>
      <c r="G42" s="35"/>
      <c r="H42" s="35"/>
      <c r="I42" s="35"/>
    </row>
    <row r="43" spans="2:9" ht="12.75">
      <c r="B43" s="35"/>
      <c r="C43" s="127"/>
      <c r="D43" s="156"/>
      <c r="E43" s="127"/>
      <c r="F43" s="127"/>
      <c r="G43" s="127"/>
      <c r="H43" s="127"/>
      <c r="I43" s="127"/>
    </row>
    <row r="44" ht="12.75">
      <c r="B44" s="35"/>
    </row>
    <row r="45" spans="3:4" ht="12.75">
      <c r="C45" s="35"/>
      <c r="D45" s="35"/>
    </row>
    <row r="52" ht="12.75">
      <c r="E52" t="s">
        <v>62</v>
      </c>
    </row>
  </sheetData>
  <sheetProtection/>
  <mergeCells count="5">
    <mergeCell ref="A1:J1"/>
    <mergeCell ref="A5:J5"/>
    <mergeCell ref="A8:A9"/>
    <mergeCell ref="B8:B9"/>
    <mergeCell ref="C8:I8"/>
  </mergeCells>
  <printOptions/>
  <pageMargins left="0.2362204724409449" right="0.2755905511811024" top="0.1968503937007874" bottom="0.5905511811023623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A51" sqref="A51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38" t="s">
        <v>48</v>
      </c>
      <c r="B1" s="138"/>
      <c r="C1" s="138"/>
      <c r="D1" s="138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30" t="s">
        <v>29</v>
      </c>
      <c r="B5" s="130"/>
      <c r="C5" s="130"/>
      <c r="D5" s="130"/>
      <c r="E5" s="3"/>
      <c r="F5" s="3"/>
      <c r="G5" s="3"/>
    </row>
    <row r="7" ht="15">
      <c r="A7" s="2" t="s">
        <v>53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29" t="s">
        <v>44</v>
      </c>
      <c r="B1" s="129"/>
      <c r="C1" s="129"/>
      <c r="D1" s="129"/>
      <c r="E1" s="12"/>
    </row>
    <row r="2" spans="1:4" ht="15">
      <c r="A2" s="2"/>
      <c r="B2" s="2"/>
      <c r="C2" s="2"/>
      <c r="D2" s="2"/>
    </row>
    <row r="3" spans="1:4" ht="15">
      <c r="A3" s="2" t="s">
        <v>54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40" t="s">
        <v>15</v>
      </c>
      <c r="B5" s="140"/>
      <c r="C5" s="140"/>
      <c r="D5" s="140"/>
      <c r="E5" s="16"/>
    </row>
    <row r="6" spans="1:5" ht="42" customHeight="1">
      <c r="A6" s="15" t="s">
        <v>21</v>
      </c>
      <c r="B6" s="17" t="str">
        <f>'Полезный отпуск'!B6</f>
        <v> январь 2021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41" t="s">
        <v>14</v>
      </c>
      <c r="B8" s="141"/>
      <c r="C8" s="141" t="s">
        <v>18</v>
      </c>
      <c r="D8" s="141"/>
    </row>
    <row r="9" spans="1:4" ht="15">
      <c r="A9" s="46" t="s">
        <v>16</v>
      </c>
      <c r="B9" s="46" t="s">
        <v>17</v>
      </c>
      <c r="C9" s="46" t="s">
        <v>16</v>
      </c>
      <c r="D9" s="46" t="s">
        <v>17</v>
      </c>
    </row>
    <row r="10" spans="1:4" ht="18.75">
      <c r="A10" s="19">
        <f>'Полезный отпуск'!B41</f>
        <v>101523.54999999999</v>
      </c>
      <c r="B10" s="121">
        <v>240.737</v>
      </c>
      <c r="C10" s="18">
        <f>'Полезный отпуск'!B28</f>
        <v>44162.049999999996</v>
      </c>
      <c r="D10" s="19">
        <f>ROUND(C10/4937*12,3)</f>
        <v>107.341</v>
      </c>
    </row>
    <row r="11" spans="1:5" ht="12.75">
      <c r="A11" s="29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39"/>
      <c r="B23" s="139"/>
      <c r="C23" s="139"/>
      <c r="D23" s="139"/>
      <c r="E23" s="13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</row>
    <row r="25" spans="1:58" ht="153.7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H21" sqref="H21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48" t="s">
        <v>45</v>
      </c>
      <c r="B1" s="148"/>
      <c r="C1" s="148"/>
      <c r="D1" s="148"/>
    </row>
    <row r="2" spans="1:4" ht="15">
      <c r="A2" s="22"/>
      <c r="B2" s="22"/>
      <c r="C2" s="22"/>
      <c r="D2" s="22"/>
    </row>
    <row r="3" spans="1:4" ht="15">
      <c r="A3" s="22" t="s">
        <v>55</v>
      </c>
      <c r="B3" s="22"/>
      <c r="C3" s="22"/>
      <c r="D3" s="22"/>
    </row>
    <row r="4" spans="1:4" ht="15">
      <c r="A4" s="22"/>
      <c r="B4" s="22"/>
      <c r="C4" s="22"/>
      <c r="D4" s="22"/>
    </row>
    <row r="5" spans="1:4" ht="15">
      <c r="A5" s="22"/>
      <c r="B5" s="22"/>
      <c r="C5" s="22"/>
      <c r="D5" s="22"/>
    </row>
    <row r="6" spans="1:4" ht="15">
      <c r="A6" s="22"/>
      <c r="B6" s="22"/>
      <c r="C6" s="22"/>
      <c r="D6" s="22"/>
    </row>
    <row r="7" spans="1:4" ht="15">
      <c r="A7" s="22"/>
      <c r="B7" s="22"/>
      <c r="C7" s="22"/>
      <c r="D7" s="22"/>
    </row>
    <row r="8" spans="1:4" ht="15">
      <c r="A8" s="22"/>
      <c r="B8" s="22"/>
      <c r="C8" s="22"/>
      <c r="D8" s="22"/>
    </row>
    <row r="9" spans="1:4" ht="15">
      <c r="A9" s="22"/>
      <c r="B9" s="22"/>
      <c r="C9" s="22"/>
      <c r="D9" s="22"/>
    </row>
    <row r="10" spans="1:4" ht="15">
      <c r="A10" s="22"/>
      <c r="B10" s="22"/>
      <c r="C10" s="22"/>
      <c r="D10" s="22"/>
    </row>
    <row r="11" spans="1:4" ht="15" customHeight="1">
      <c r="A11" s="144" t="s">
        <v>32</v>
      </c>
      <c r="B11" s="144"/>
      <c r="C11" s="144"/>
      <c r="D11" s="144"/>
    </row>
    <row r="12" spans="1:4" ht="24" customHeight="1">
      <c r="A12" s="23" t="s">
        <v>21</v>
      </c>
      <c r="B12" s="24" t="str">
        <f>'Полезный отпуск'!B6</f>
        <v> январь 2021 г.</v>
      </c>
      <c r="C12" s="22"/>
      <c r="D12" s="22"/>
    </row>
    <row r="13" spans="1:4" ht="15">
      <c r="A13" s="22"/>
      <c r="B13" s="22"/>
      <c r="C13" s="22"/>
      <c r="D13" s="22"/>
    </row>
    <row r="14" spans="1:4" ht="41.25" customHeight="1">
      <c r="A14" s="47" t="s">
        <v>27</v>
      </c>
      <c r="B14" s="48" t="s">
        <v>28</v>
      </c>
      <c r="C14" s="149" t="s">
        <v>12</v>
      </c>
      <c r="D14" s="150"/>
    </row>
    <row r="15" spans="1:6" ht="15">
      <c r="A15" s="47" t="s">
        <v>11</v>
      </c>
      <c r="B15" s="25" t="s">
        <v>11</v>
      </c>
      <c r="C15" s="151">
        <v>0</v>
      </c>
      <c r="D15" s="152"/>
      <c r="E15" s="146"/>
      <c r="F15" s="147"/>
    </row>
    <row r="16" spans="1:6" ht="15">
      <c r="A16" s="47" t="s">
        <v>31</v>
      </c>
      <c r="B16" s="25" t="s">
        <v>31</v>
      </c>
      <c r="C16" s="151">
        <v>0</v>
      </c>
      <c r="D16" s="152"/>
      <c r="E16" s="146"/>
      <c r="F16" s="147"/>
    </row>
    <row r="17" spans="1:6" ht="15">
      <c r="A17" s="47" t="s">
        <v>13</v>
      </c>
      <c r="B17" s="26" t="s">
        <v>13</v>
      </c>
      <c r="C17" s="151">
        <v>0</v>
      </c>
      <c r="D17" s="152"/>
      <c r="E17" s="146"/>
      <c r="F17" s="147"/>
    </row>
    <row r="18" spans="1:6" ht="15">
      <c r="A18" s="145" t="s">
        <v>22</v>
      </c>
      <c r="B18" s="145"/>
      <c r="C18" s="153">
        <f>SUM(C15:C17)</f>
        <v>0</v>
      </c>
      <c r="D18" s="154"/>
      <c r="E18" s="146"/>
      <c r="F18" s="147"/>
    </row>
    <row r="19" spans="1:5" ht="15">
      <c r="A19" s="27"/>
      <c r="B19" s="27"/>
      <c r="C19" s="28"/>
      <c r="D19" s="27"/>
      <c r="E19" s="8"/>
    </row>
    <row r="20" spans="1:4" ht="33" customHeight="1">
      <c r="A20" s="143" t="s">
        <v>42</v>
      </c>
      <c r="B20" s="143"/>
      <c r="C20" s="143"/>
      <c r="D20" s="143"/>
    </row>
    <row r="21" spans="1:4" ht="96.75" customHeight="1">
      <c r="A21" s="142" t="s">
        <v>47</v>
      </c>
      <c r="B21" s="142"/>
      <c r="C21" s="142"/>
      <c r="D21" s="142"/>
    </row>
    <row r="22" spans="1:4" ht="67.5" customHeight="1">
      <c r="A22" s="142" t="s">
        <v>46</v>
      </c>
      <c r="B22" s="142"/>
      <c r="C22" s="142"/>
      <c r="D22" s="142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  <mergeCell ref="E15:F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48" t="s">
        <v>10</v>
      </c>
      <c r="B1" s="148"/>
      <c r="C1" s="148"/>
      <c r="D1" s="148"/>
    </row>
    <row r="2" spans="1:4" ht="15">
      <c r="A2" s="22"/>
      <c r="B2" s="22"/>
      <c r="C2" s="22"/>
      <c r="D2" s="22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 январь 2021 г.</v>
      </c>
    </row>
    <row r="5" spans="1:4" ht="39" customHeight="1">
      <c r="A5" s="155" t="s">
        <v>56</v>
      </c>
      <c r="B5" s="155"/>
      <c r="C5" s="155"/>
      <c r="D5" s="155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Кебекова Марьяна Валерьевна</cp:lastModifiedBy>
  <cp:lastPrinted>2021-02-17T11:04:13Z</cp:lastPrinted>
  <dcterms:created xsi:type="dcterms:W3CDTF">2009-10-22T06:15:03Z</dcterms:created>
  <dcterms:modified xsi:type="dcterms:W3CDTF">2021-02-17T11:06:27Z</dcterms:modified>
  <cp:category/>
  <cp:version/>
  <cp:contentType/>
  <cp:contentStatus/>
</cp:coreProperties>
</file>