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<sst xmlns="http://schemas.openxmlformats.org/spreadsheetml/2006/main" count="98" uniqueCount="64">
  <si>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</si>
  <si>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</si>
  <si>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</si>
  <si>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</si>
  <si>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</si>
  <si>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</si>
  <si>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</si>
  <si>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</si>
  <si>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</si>
  <si>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</si>
  <si>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</si>
  <si>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</si>
  <si>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</si>
  <si>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</si>
  <si>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</si>
  <si>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</si>
  <si>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</si>
  <si>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</si>
  <si>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</si>
  <si>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</si>
  <si>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</si>
  <si>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</si>
  <si>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</si>
  <si>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</si>
  <si>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</si>
  <si>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</si>
  <si>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</si>
  <si>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</si>
  <si>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</si>
  <si>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</si>
  <si>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</si>
  <si>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</si>
  <si>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</si>
  <si>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</si>
  <si>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</si>
  <si>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</si>
  <si>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</si>
  <si>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</si>
  <si>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</si>
  <si>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</si>
  <si>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</si>
  <si>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</si>
  <si>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</si>
  <si>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</si>
  <si>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</si>
  <si>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</si>
  <si>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</si>
  <si>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</si>
  <si>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</si>
  <si>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</si>
  <si>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</si>
  <si>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</si>
  <si>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</si>
  <si>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МУП "Каббалккоммунэнерго"</t>
  </si>
  <si>
    <t xml:space="preserve">приравненное к сельскому </t>
  </si>
  <si>
    <t>=</t>
  </si>
  <si>
    <t>Филиал ПАО "Россети Северный Кавказ" - "Каббалкэнерго"</t>
  </si>
  <si>
    <t>СК Трансэнерго - филиал ОАО "РЖД"</t>
  </si>
  <si>
    <t>ГУП КБР "Чегемэнерго"</t>
  </si>
  <si>
    <t>ОАО "ФСК ЕЭС"</t>
  </si>
  <si>
    <t>ООО "МагнитЭнерго"</t>
  </si>
  <si>
    <t>ООО "Промэлектросеть"</t>
  </si>
  <si>
    <t xml:space="preserve"> март 2021 г.</t>
  </si>
  <si>
    <t>2381,41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</si>
</sst>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000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4"/>
      <color indexed="10"/>
      <name val="Times New Roman"/>
      <family val="1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4"/>
      <color rgb="FFFF0000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70C0"/>
      <name val="Arial Cyr"/>
      <family val="0"/>
    </font>
    <font>
      <sz val="10"/>
      <color rgb="FFFF000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6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6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7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7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7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7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7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7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7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7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7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8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9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80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2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3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4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5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6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9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90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4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5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5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5" fillId="0" borderId="19" xfId="0" applyNumberFormat="1" applyFont="1" applyFill="1" applyBorder="1" applyAlignment="1" applyProtection="1">
      <alignment/>
      <protection locked="0"/>
    </xf>
    <xf numFmtId="174" fontId="95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5" fillId="0" borderId="19" xfId="0" applyNumberFormat="1" applyFont="1" applyBorder="1" applyAlignment="1" applyProtection="1">
      <alignment horizontal="right"/>
      <protection locked="0"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74" fontId="95" fillId="56" borderId="19" xfId="0" applyNumberFormat="1" applyFont="1" applyFill="1" applyBorder="1" applyAlignment="1">
      <alignment/>
    </xf>
    <xf numFmtId="174" fontId="95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0" fontId="96" fillId="0" borderId="19" xfId="0" applyFont="1" applyBorder="1" applyAlignment="1" applyProtection="1">
      <alignment/>
      <protection locked="0"/>
    </xf>
    <xf numFmtId="2" fontId="96" fillId="0" borderId="19" xfId="0" applyNumberFormat="1" applyFont="1" applyFill="1" applyBorder="1" applyAlignment="1" applyProtection="1">
      <alignment/>
      <protection locked="0"/>
    </xf>
    <xf numFmtId="0" fontId="96" fillId="56" borderId="19" xfId="0" applyFont="1" applyFill="1" applyBorder="1" applyAlignment="1">
      <alignment/>
    </xf>
    <xf numFmtId="2" fontId="96" fillId="56" borderId="19" xfId="0" applyNumberFormat="1" applyFont="1" applyFill="1" applyBorder="1" applyAlignment="1">
      <alignment/>
    </xf>
    <xf numFmtId="0" fontId="96" fillId="56" borderId="19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>
      <alignment/>
    </xf>
    <xf numFmtId="174" fontId="85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6" fillId="0" borderId="19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97" fillId="0" borderId="19" xfId="0" applyNumberFormat="1" applyFont="1" applyBorder="1" applyAlignment="1">
      <alignment horizontal="center" vertical="center" wrapText="1"/>
    </xf>
    <xf numFmtId="4" fontId="0" fillId="56" borderId="0" xfId="0" applyNumberFormat="1" applyFill="1" applyAlignment="1">
      <alignment/>
    </xf>
    <xf numFmtId="0" fontId="5" fillId="56" borderId="19" xfId="0" applyFont="1" applyFill="1" applyBorder="1" applyAlignment="1">
      <alignment horizontal="left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0" fontId="5" fillId="56" borderId="19" xfId="0" applyFont="1" applyFill="1" applyBorder="1" applyAlignment="1" applyProtection="1">
      <alignment horizontal="center"/>
      <protection locked="0"/>
    </xf>
    <xf numFmtId="174" fontId="3" fillId="57" borderId="19" xfId="0" applyNumberFormat="1" applyFont="1" applyFill="1" applyBorder="1" applyAlignment="1">
      <alignment/>
    </xf>
    <xf numFmtId="174" fontId="3" fillId="57" borderId="19" xfId="0" applyNumberFormat="1" applyFont="1" applyFill="1" applyBorder="1" applyAlignment="1" applyProtection="1">
      <alignment horizontal="right" vertical="center" wrapText="1"/>
      <protection/>
    </xf>
    <xf numFmtId="0" fontId="98" fillId="57" borderId="19" xfId="0" applyFont="1" applyFill="1" applyBorder="1" applyAlignment="1" applyProtection="1">
      <alignment horizontal="right" vertical="center" wrapText="1"/>
      <protection/>
    </xf>
    <xf numFmtId="0" fontId="4" fillId="57" borderId="19" xfId="0" applyFont="1" applyFill="1" applyBorder="1" applyAlignment="1" applyProtection="1">
      <alignment horizontal="righ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3" fillId="57" borderId="19" xfId="0" applyNumberFormat="1" applyFont="1" applyFill="1" applyBorder="1" applyAlignment="1" applyProtection="1">
      <alignment horizontal="right"/>
      <protection locked="0"/>
    </xf>
    <xf numFmtId="0" fontId="67" fillId="57" borderId="19" xfId="0" applyFont="1" applyFill="1" applyBorder="1" applyAlignment="1" applyProtection="1">
      <alignment/>
      <protection locked="0"/>
    </xf>
    <xf numFmtId="0" fontId="3" fillId="57" borderId="19" xfId="0" applyFont="1" applyFill="1" applyBorder="1" applyAlignment="1" applyProtection="1">
      <alignment horizontal="center"/>
      <protection locked="0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4" fontId="3" fillId="56" borderId="19" xfId="0" applyNumberFormat="1" applyFont="1" applyFill="1" applyBorder="1" applyAlignment="1">
      <alignment horizontal="center"/>
    </xf>
    <xf numFmtId="174" fontId="5" fillId="56" borderId="19" xfId="0" applyNumberFormat="1" applyFont="1" applyFill="1" applyBorder="1" applyAlignment="1" applyProtection="1">
      <alignment/>
      <protection locked="0"/>
    </xf>
    <xf numFmtId="174" fontId="3" fillId="58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left" wrapText="1"/>
    </xf>
    <xf numFmtId="174" fontId="3" fillId="57" borderId="19" xfId="0" applyNumberFormat="1" applyFont="1" applyFill="1" applyBorder="1" applyAlignment="1" applyProtection="1">
      <alignment/>
      <protection locked="0"/>
    </xf>
    <xf numFmtId="0" fontId="99" fillId="57" borderId="19" xfId="0" applyFont="1" applyFill="1" applyBorder="1" applyAlignment="1">
      <alignment/>
    </xf>
    <xf numFmtId="0" fontId="3" fillId="57" borderId="19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3" fillId="56" borderId="19" xfId="0" applyFont="1" applyFill="1" applyBorder="1" applyAlignment="1">
      <alignment wrapText="1"/>
    </xf>
    <xf numFmtId="0" fontId="5" fillId="56" borderId="19" xfId="0" applyFont="1" applyFill="1" applyBorder="1" applyAlignment="1">
      <alignment horizontal="center"/>
    </xf>
    <xf numFmtId="174" fontId="95" fillId="56" borderId="19" xfId="0" applyNumberFormat="1" applyFont="1" applyFill="1" applyBorder="1" applyAlignment="1" applyProtection="1">
      <alignment horizontal="right"/>
      <protection locked="0"/>
    </xf>
    <xf numFmtId="176" fontId="6" fillId="56" borderId="19" xfId="0" applyNumberFormat="1" applyFont="1" applyFill="1" applyBorder="1" applyAlignment="1" applyProtection="1">
      <alignment/>
      <protection locked="0"/>
    </xf>
    <xf numFmtId="174" fontId="100" fillId="0" borderId="0" xfId="0" applyNumberFormat="1" applyFont="1" applyAlignment="1">
      <alignment/>
    </xf>
    <xf numFmtId="174" fontId="3" fillId="59" borderId="19" xfId="0" applyNumberFormat="1" applyFont="1" applyFill="1" applyBorder="1" applyAlignment="1" applyProtection="1">
      <alignment horizontal="right" vertical="center" wrapText="1"/>
      <protection/>
    </xf>
    <xf numFmtId="174" fontId="0" fillId="0" borderId="0" xfId="0" applyNumberFormat="1" applyFont="1" applyAlignment="1">
      <alignment/>
    </xf>
    <xf numFmtId="0" fontId="70" fillId="60" borderId="30" xfId="0" applyFont="1" applyFill="1" applyBorder="1" applyAlignment="1">
      <alignment horizontal="center"/>
    </xf>
    <xf numFmtId="0" fontId="70" fillId="60" borderId="31" xfId="0" applyFont="1" applyFill="1" applyBorder="1" applyAlignment="1">
      <alignment horizontal="center" vertical="center" wrapText="1"/>
    </xf>
    <xf numFmtId="0" fontId="70" fillId="60" borderId="28" xfId="0" applyFont="1" applyFill="1" applyBorder="1" applyAlignment="1">
      <alignment horizontal="center" vertical="center" wrapText="1"/>
    </xf>
    <xf numFmtId="177" fontId="69" fillId="60" borderId="32" xfId="0" applyNumberFormat="1" applyFont="1" applyFill="1" applyBorder="1" applyAlignment="1">
      <alignment horizontal="center" vertical="center" wrapText="1"/>
    </xf>
    <xf numFmtId="0" fontId="70" fillId="6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9" fillId="60" borderId="32" xfId="0" applyFont="1" applyFill="1" applyBorder="1" applyAlignment="1">
      <alignment horizontal="center" vertical="center"/>
    </xf>
    <xf numFmtId="0" fontId="69" fillId="60" borderId="33" xfId="0" applyFont="1" applyFill="1" applyBorder="1" applyAlignment="1">
      <alignment horizontal="center" vertical="center"/>
    </xf>
    <xf numFmtId="177" fontId="69" fillId="60" borderId="32" xfId="0" applyNumberFormat="1" applyFont="1" applyFill="1" applyBorder="1" applyAlignment="1">
      <alignment horizontal="center" vertical="center" wrapText="1"/>
    </xf>
    <xf numFmtId="177" fontId="69" fillId="60" borderId="33" xfId="0" applyNumberFormat="1" applyFont="1" applyFill="1" applyBorder="1" applyAlignment="1">
      <alignment horizontal="center" vertical="center" wrapText="1"/>
    </xf>
    <xf numFmtId="0" fontId="70" fillId="60" borderId="31" xfId="0" applyFont="1" applyFill="1" applyBorder="1" applyAlignment="1">
      <alignment horizontal="center"/>
    </xf>
    <xf numFmtId="0" fontId="70" fillId="60" borderId="30" xfId="0" applyFont="1" applyFill="1" applyBorder="1" applyAlignment="1">
      <alignment horizontal="center"/>
    </xf>
    <xf numFmtId="0" fontId="70" fillId="60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  <xf numFmtId="0" fontId="97" fillId="56" borderId="19" xfId="0" applyFont="1" applyFill="1" applyBorder="1" applyAlignment="1">
      <alignment horizontal="center" vertical="center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52"/>
  <sheetViews>
    <sheetView tabSelected="1" zoomScaleSheetLayoutView="100" zoomScalePageLayoutView="0" workbookViewId="0" topLeftCell="A1">
      <pane xSplit="1" ySplit="10" topLeftCell="B23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3" sqref="B33"/>
    </sheetView>
  </sheetViews>
  <sheetFormatPr defaultColWidth="9.00390625" defaultRowHeight="12.75"/>
  <cols>
    <col min="1" max="1" width="33.125" style="0" customWidth="1"/>
    <col min="2" max="2" width="17.375" style="0" customWidth="1"/>
    <col min="3" max="3" width="26.25390625" style="0" customWidth="1"/>
    <col min="4" max="4" width="28.375" style="0" customWidth="1"/>
    <col min="5" max="5" width="25.00390625" style="0" customWidth="1"/>
    <col min="6" max="6" width="19.00390625" style="56" customWidth="1"/>
    <col min="7" max="7" width="16.375" style="0" customWidth="1"/>
    <col min="8" max="8" width="20.00390625" style="0" customWidth="1"/>
    <col min="9" max="9" width="19.625" style="0" customWidth="1"/>
    <col min="10" max="10" width="22.75390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17" width="12.875" style="0" customWidth="1"/>
    <col min="18" max="33" width="7.75390625" style="0" customWidth="1"/>
  </cols>
  <sheetData>
    <row r="1" spans="1:11" ht="36" customHeight="1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9.75" customHeight="1" hidden="1">
      <c r="A2" s="2"/>
      <c r="B2" s="2"/>
      <c r="C2" s="2"/>
      <c r="D2" s="2"/>
      <c r="E2" s="2"/>
      <c r="F2" s="106"/>
      <c r="G2" s="2"/>
      <c r="H2" s="2"/>
      <c r="I2" s="2"/>
      <c r="J2" s="2"/>
      <c r="K2" s="2"/>
    </row>
    <row r="3" spans="1:11" ht="15">
      <c r="A3" s="2" t="s">
        <v>47</v>
      </c>
      <c r="B3" s="2"/>
      <c r="C3" s="2"/>
      <c r="D3" s="2"/>
      <c r="E3" s="2"/>
      <c r="F3" s="106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106"/>
      <c r="G4" s="2"/>
      <c r="H4" s="2"/>
      <c r="I4" s="2"/>
      <c r="J4" s="2"/>
      <c r="K4" s="2"/>
    </row>
    <row r="5" spans="1:11" ht="17.25" customHeight="1">
      <c r="A5" s="129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9.5" customHeight="1">
      <c r="A6" s="15" t="s">
        <v>20</v>
      </c>
      <c r="B6" s="32" t="s">
        <v>62</v>
      </c>
      <c r="C6" s="2"/>
      <c r="D6" s="2"/>
      <c r="E6" s="34"/>
      <c r="F6" s="107"/>
      <c r="G6" s="2"/>
      <c r="H6" s="2"/>
      <c r="I6" s="2"/>
      <c r="J6" s="2"/>
      <c r="K6" s="71"/>
    </row>
    <row r="7" spans="1:11" ht="17.25" customHeight="1">
      <c r="A7" s="2"/>
      <c r="B7" s="2"/>
      <c r="C7" s="34"/>
      <c r="D7" s="34"/>
      <c r="E7" s="34"/>
      <c r="F7" s="107"/>
      <c r="G7" s="34"/>
      <c r="H7" s="34"/>
      <c r="I7" s="34"/>
      <c r="J7" s="34"/>
      <c r="K7" s="2"/>
    </row>
    <row r="8" spans="1:12" s="56" customFormat="1" ht="15" customHeight="1">
      <c r="A8" s="130" t="s">
        <v>0</v>
      </c>
      <c r="B8" s="132" t="s">
        <v>22</v>
      </c>
      <c r="C8" s="134" t="s">
        <v>23</v>
      </c>
      <c r="D8" s="135"/>
      <c r="E8" s="135"/>
      <c r="F8" s="135"/>
      <c r="G8" s="135"/>
      <c r="H8" s="135"/>
      <c r="I8" s="136"/>
      <c r="J8" s="123"/>
      <c r="K8" s="124" t="s">
        <v>1</v>
      </c>
      <c r="L8" s="125"/>
    </row>
    <row r="9" spans="1:12" s="56" customFormat="1" ht="87.75" customHeight="1">
      <c r="A9" s="131"/>
      <c r="B9" s="133"/>
      <c r="C9" s="126" t="s">
        <v>56</v>
      </c>
      <c r="D9" s="126" t="s">
        <v>53</v>
      </c>
      <c r="E9" s="126" t="s">
        <v>57</v>
      </c>
      <c r="F9" s="126" t="s">
        <v>58</v>
      </c>
      <c r="G9" s="126" t="s">
        <v>59</v>
      </c>
      <c r="H9" s="126" t="s">
        <v>60</v>
      </c>
      <c r="I9" s="126" t="s">
        <v>46</v>
      </c>
      <c r="J9" s="126" t="s">
        <v>61</v>
      </c>
      <c r="K9" s="127" t="s">
        <v>35</v>
      </c>
      <c r="L9" s="127" t="s">
        <v>37</v>
      </c>
    </row>
    <row r="10" spans="1:12" s="68" customFormat="1" ht="31.5">
      <c r="A10" s="66" t="s">
        <v>24</v>
      </c>
      <c r="B10" s="67">
        <f>B24+B25+B26+B27+B17+B35+B36+B37+B38</f>
        <v>73205.08999999998</v>
      </c>
      <c r="C10" s="67">
        <f>C24+C25+C26+C27+C17</f>
        <v>52363.01400000001</v>
      </c>
      <c r="D10" s="67"/>
      <c r="E10" s="67">
        <f>E24+E25+E26+E27+E17</f>
        <v>258.19100000000003</v>
      </c>
      <c r="F10" s="108">
        <f>F24+F25+F26+F27+F17</f>
        <v>3131.074</v>
      </c>
      <c r="G10" s="67">
        <f>G24+G25+G26+G27+G17</f>
        <v>61.742</v>
      </c>
      <c r="H10" s="67">
        <f>H24+H25+H26+H27+H17</f>
        <v>146.91299999999998</v>
      </c>
      <c r="I10" s="67">
        <f>I24+I25+I26+I27+I17+I28</f>
        <v>773.4659999999999</v>
      </c>
      <c r="J10" s="67"/>
      <c r="K10" s="38"/>
      <c r="L10" s="38"/>
    </row>
    <row r="11" spans="1:12" ht="12.75">
      <c r="A11" s="51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31.5" customHeight="1">
      <c r="A12" s="111" t="s">
        <v>38</v>
      </c>
      <c r="B12" s="112">
        <f>SUM(B13:B16)</f>
        <v>15.901999999999997</v>
      </c>
      <c r="C12" s="112">
        <f aca="true" t="shared" si="0" ref="C12:J12">SUM(C13:C16)</f>
        <v>12.849999999999998</v>
      </c>
      <c r="D12" s="112">
        <f t="shared" si="0"/>
        <v>0</v>
      </c>
      <c r="E12" s="112">
        <f t="shared" si="0"/>
        <v>0</v>
      </c>
      <c r="F12" s="112">
        <f t="shared" si="0"/>
        <v>2.918</v>
      </c>
      <c r="G12" s="112">
        <f t="shared" si="0"/>
        <v>0.087</v>
      </c>
      <c r="H12" s="112">
        <f t="shared" si="0"/>
        <v>0</v>
      </c>
      <c r="I12" s="112">
        <f t="shared" si="0"/>
        <v>0.047</v>
      </c>
      <c r="J12" s="112">
        <f t="shared" si="0"/>
        <v>0</v>
      </c>
      <c r="K12" s="114"/>
      <c r="L12" s="114"/>
    </row>
    <row r="13" spans="1:15" ht="15">
      <c r="A13" s="52" t="s">
        <v>2</v>
      </c>
      <c r="B13" s="21">
        <f>SUM(C13:I13)</f>
        <v>2.9240000000000004</v>
      </c>
      <c r="C13" s="30">
        <v>2.837</v>
      </c>
      <c r="D13" s="30">
        <v>0</v>
      </c>
      <c r="E13" s="39">
        <v>0</v>
      </c>
      <c r="F13" s="77">
        <v>0</v>
      </c>
      <c r="G13" s="57">
        <v>0.087</v>
      </c>
      <c r="H13" s="53">
        <v>0</v>
      </c>
      <c r="I13" s="21">
        <v>0</v>
      </c>
      <c r="J13" s="21">
        <v>0</v>
      </c>
      <c r="K13" s="79">
        <v>1029174.9600000001</v>
      </c>
      <c r="L13" s="83">
        <v>71690.66</v>
      </c>
      <c r="O13" s="61"/>
    </row>
    <row r="14" spans="1:19" s="61" customFormat="1" ht="15">
      <c r="A14" s="52" t="s">
        <v>3</v>
      </c>
      <c r="B14" s="21">
        <f>SUM(C14:I14)</f>
        <v>0</v>
      </c>
      <c r="C14" s="30">
        <v>0</v>
      </c>
      <c r="D14" s="30">
        <v>0</v>
      </c>
      <c r="E14" s="59">
        <v>0</v>
      </c>
      <c r="F14" s="109">
        <v>0</v>
      </c>
      <c r="G14" s="58">
        <v>0</v>
      </c>
      <c r="H14" s="64">
        <v>0</v>
      </c>
      <c r="I14" s="58">
        <v>0</v>
      </c>
      <c r="J14" s="58">
        <v>0</v>
      </c>
      <c r="K14" s="80">
        <v>1213132.5999999999</v>
      </c>
      <c r="L14" s="60" t="s">
        <v>36</v>
      </c>
      <c r="P14"/>
      <c r="Q14"/>
      <c r="R14"/>
      <c r="S14"/>
    </row>
    <row r="15" spans="1:15" ht="15.75">
      <c r="A15" s="52" t="s">
        <v>4</v>
      </c>
      <c r="B15" s="21">
        <f>SUM(C15:I15)</f>
        <v>12.681999999999999</v>
      </c>
      <c r="C15" s="30">
        <f>1.007+8.761</f>
        <v>9.767999999999999</v>
      </c>
      <c r="D15" s="30">
        <v>0</v>
      </c>
      <c r="E15" s="21">
        <v>0</v>
      </c>
      <c r="F15" s="77">
        <v>2.914</v>
      </c>
      <c r="G15" s="21">
        <v>0</v>
      </c>
      <c r="H15" s="53">
        <v>0</v>
      </c>
      <c r="I15" s="21">
        <v>0</v>
      </c>
      <c r="J15" s="21">
        <v>0</v>
      </c>
      <c r="K15" s="79">
        <v>1378986.95</v>
      </c>
      <c r="L15" s="40" t="s">
        <v>36</v>
      </c>
      <c r="N15" s="84"/>
      <c r="O15" s="61"/>
    </row>
    <row r="16" spans="1:15" ht="15.75">
      <c r="A16" s="52" t="s">
        <v>5</v>
      </c>
      <c r="B16" s="21">
        <f>SUM(C16:I16)</f>
        <v>0.296</v>
      </c>
      <c r="C16" s="30">
        <f>0.076+0.169</f>
        <v>0.245</v>
      </c>
      <c r="D16" s="30">
        <v>0</v>
      </c>
      <c r="E16" s="21">
        <v>0</v>
      </c>
      <c r="F16" s="77">
        <v>0.004</v>
      </c>
      <c r="G16" s="21">
        <v>0</v>
      </c>
      <c r="H16" s="53">
        <v>0</v>
      </c>
      <c r="I16" s="76">
        <v>0.047</v>
      </c>
      <c r="J16" s="76">
        <v>0</v>
      </c>
      <c r="K16" s="79">
        <v>1117022.9</v>
      </c>
      <c r="L16" s="40" t="s">
        <v>36</v>
      </c>
      <c r="N16" s="84"/>
      <c r="O16" s="61"/>
    </row>
    <row r="17" spans="1:15" ht="30.75">
      <c r="A17" s="111" t="s">
        <v>33</v>
      </c>
      <c r="B17" s="112">
        <f>SUM(B18:B21)</f>
        <v>10577.975</v>
      </c>
      <c r="C17" s="112">
        <f aca="true" t="shared" si="1" ref="C17:J17">SUM(C18:C21)</f>
        <v>8639.323</v>
      </c>
      <c r="D17" s="112">
        <f t="shared" si="1"/>
        <v>0</v>
      </c>
      <c r="E17" s="112">
        <f t="shared" si="1"/>
        <v>0</v>
      </c>
      <c r="F17" s="112">
        <f t="shared" si="1"/>
        <v>1851.5</v>
      </c>
      <c r="G17" s="112">
        <f t="shared" si="1"/>
        <v>61.742</v>
      </c>
      <c r="H17" s="112">
        <f t="shared" si="1"/>
        <v>0</v>
      </c>
      <c r="I17" s="112">
        <f t="shared" si="1"/>
        <v>25.41</v>
      </c>
      <c r="J17" s="112">
        <f t="shared" si="1"/>
        <v>0</v>
      </c>
      <c r="K17" s="113"/>
      <c r="L17" s="114"/>
      <c r="N17" s="85"/>
      <c r="O17" s="61"/>
    </row>
    <row r="18" spans="1:15" ht="18.75">
      <c r="A18" s="52" t="s">
        <v>2</v>
      </c>
      <c r="B18" s="21">
        <f>SUM(C18:I18)</f>
        <v>1844.35</v>
      </c>
      <c r="C18" s="57">
        <v>1782.608</v>
      </c>
      <c r="D18" s="57">
        <v>0</v>
      </c>
      <c r="E18" s="21">
        <v>0</v>
      </c>
      <c r="F18" s="77">
        <v>0</v>
      </c>
      <c r="G18" s="87">
        <v>61.742</v>
      </c>
      <c r="H18" s="53">
        <v>0</v>
      </c>
      <c r="I18" s="21">
        <v>0</v>
      </c>
      <c r="J18" s="21">
        <v>0</v>
      </c>
      <c r="K18" s="81">
        <v>141.49</v>
      </c>
      <c r="L18" s="90" t="s">
        <v>63</v>
      </c>
      <c r="N18" s="84"/>
      <c r="O18" s="61"/>
    </row>
    <row r="19" spans="1:18" s="61" customFormat="1" ht="15.75">
      <c r="A19" s="52" t="s">
        <v>3</v>
      </c>
      <c r="B19" s="58">
        <f>SUM(C19:I19)</f>
        <v>0</v>
      </c>
      <c r="C19" s="62">
        <v>0</v>
      </c>
      <c r="D19" s="62">
        <v>0</v>
      </c>
      <c r="E19" s="58">
        <v>0</v>
      </c>
      <c r="F19" s="109">
        <v>0</v>
      </c>
      <c r="G19" s="21">
        <v>0</v>
      </c>
      <c r="H19" s="64">
        <v>0</v>
      </c>
      <c r="I19" s="58">
        <v>0</v>
      </c>
      <c r="J19" s="58">
        <v>0</v>
      </c>
      <c r="K19" s="82">
        <v>180.79999999999998</v>
      </c>
      <c r="L19" s="60" t="s">
        <v>36</v>
      </c>
      <c r="N19" s="84"/>
      <c r="P19"/>
      <c r="Q19" s="88"/>
      <c r="R19"/>
    </row>
    <row r="20" spans="1:17" ht="15.75">
      <c r="A20" s="52" t="s">
        <v>4</v>
      </c>
      <c r="B20" s="21">
        <f>SUM(C20:I20)</f>
        <v>8542.854</v>
      </c>
      <c r="C20" s="30">
        <f>646.306+6047.487</f>
        <v>6693.793</v>
      </c>
      <c r="D20" s="30">
        <v>0</v>
      </c>
      <c r="E20" s="21">
        <v>0</v>
      </c>
      <c r="F20" s="77">
        <v>1849.061</v>
      </c>
      <c r="G20" s="21">
        <v>0</v>
      </c>
      <c r="H20" s="53">
        <v>0</v>
      </c>
      <c r="I20" s="21">
        <v>0</v>
      </c>
      <c r="J20" s="21">
        <v>0</v>
      </c>
      <c r="K20" s="81">
        <v>365.53999999999996</v>
      </c>
      <c r="L20" s="40" t="s">
        <v>36</v>
      </c>
      <c r="N20" s="84"/>
      <c r="O20" s="61"/>
      <c r="Q20" s="89"/>
    </row>
    <row r="21" spans="1:15" ht="15.75">
      <c r="A21" s="52" t="s">
        <v>5</v>
      </c>
      <c r="B21" s="21">
        <f>SUM(C21:I21)</f>
        <v>190.771</v>
      </c>
      <c r="C21" s="30">
        <f>48.798+114.124</f>
        <v>162.922</v>
      </c>
      <c r="D21" s="30">
        <v>0</v>
      </c>
      <c r="E21" s="21">
        <v>0</v>
      </c>
      <c r="F21" s="76">
        <v>2.439</v>
      </c>
      <c r="G21" s="21">
        <v>0</v>
      </c>
      <c r="H21" s="53">
        <v>0</v>
      </c>
      <c r="I21" s="76">
        <v>25.41</v>
      </c>
      <c r="J21" s="76">
        <v>0</v>
      </c>
      <c r="K21" s="81">
        <v>533.25</v>
      </c>
      <c r="L21" s="40" t="s">
        <v>36</v>
      </c>
      <c r="N21" s="84"/>
      <c r="O21" s="61"/>
    </row>
    <row r="22" spans="1:17" ht="15.75">
      <c r="A22" s="65"/>
      <c r="B22" s="21"/>
      <c r="C22" s="30"/>
      <c r="D22" s="30"/>
      <c r="E22" s="21"/>
      <c r="F22" s="76"/>
      <c r="G22" s="21"/>
      <c r="H22" s="53"/>
      <c r="I22" s="63"/>
      <c r="J22" s="63"/>
      <c r="K22" s="81"/>
      <c r="L22" s="40"/>
      <c r="N22" s="85"/>
      <c r="O22" s="61"/>
      <c r="Q22" s="89"/>
    </row>
    <row r="23" spans="1:18" s="75" customFormat="1" ht="15.75">
      <c r="A23" s="74" t="s">
        <v>34</v>
      </c>
      <c r="B23" s="99">
        <f aca="true" t="shared" si="2" ref="B23:J23">SUM(B24:B27)</f>
        <v>56988.331</v>
      </c>
      <c r="C23" s="99">
        <f t="shared" si="2"/>
        <v>43723.691000000006</v>
      </c>
      <c r="D23" s="99">
        <f t="shared" si="2"/>
        <v>249.722</v>
      </c>
      <c r="E23" s="99">
        <f t="shared" si="2"/>
        <v>258.19100000000003</v>
      </c>
      <c r="F23" s="121">
        <f t="shared" si="2"/>
        <v>1279.574</v>
      </c>
      <c r="G23" s="99">
        <f t="shared" si="2"/>
        <v>0</v>
      </c>
      <c r="H23" s="99">
        <f t="shared" si="2"/>
        <v>146.91299999999998</v>
      </c>
      <c r="I23" s="99">
        <f t="shared" si="2"/>
        <v>731.2669999999999</v>
      </c>
      <c r="J23" s="99">
        <f t="shared" si="2"/>
        <v>20.998</v>
      </c>
      <c r="K23" s="100"/>
      <c r="L23" s="101"/>
      <c r="N23" s="84"/>
      <c r="O23" s="61"/>
      <c r="P23"/>
      <c r="R23"/>
    </row>
    <row r="24" spans="1:17" ht="15.75">
      <c r="A24" s="52" t="s">
        <v>2</v>
      </c>
      <c r="B24" s="21">
        <v>6449.968</v>
      </c>
      <c r="C24" s="73">
        <f>5190.061+904.928-C18</f>
        <v>4312.380999999999</v>
      </c>
      <c r="D24" s="73">
        <f>220.193-D18</f>
        <v>220.193</v>
      </c>
      <c r="E24" s="36">
        <f>73.044-E18</f>
        <v>73.044</v>
      </c>
      <c r="F24" s="73">
        <v>0</v>
      </c>
      <c r="G24" s="36">
        <f>61.742-G18</f>
        <v>0</v>
      </c>
      <c r="H24" s="54">
        <v>0</v>
      </c>
      <c r="I24" s="42">
        <v>0</v>
      </c>
      <c r="J24" s="42">
        <v>0</v>
      </c>
      <c r="K24" s="79">
        <v>2189.86</v>
      </c>
      <c r="L24" s="40" t="s">
        <v>36</v>
      </c>
      <c r="N24" s="85"/>
      <c r="O24" s="61"/>
      <c r="P24" s="86"/>
      <c r="Q24" s="89"/>
    </row>
    <row r="25" spans="1:17" ht="15">
      <c r="A25" s="52" t="s">
        <v>3</v>
      </c>
      <c r="B25" s="78">
        <f>SUM(C25:I25)</f>
        <v>1157.519</v>
      </c>
      <c r="C25" s="73">
        <f>1118.877-C19</f>
        <v>1118.877</v>
      </c>
      <c r="D25" s="73">
        <v>0</v>
      </c>
      <c r="E25" s="36">
        <f>38.642-E19</f>
        <v>38.642</v>
      </c>
      <c r="F25" s="73">
        <v>0</v>
      </c>
      <c r="G25" s="41">
        <v>0</v>
      </c>
      <c r="H25" s="55">
        <v>0</v>
      </c>
      <c r="I25" s="41">
        <v>0</v>
      </c>
      <c r="J25" s="41">
        <v>0</v>
      </c>
      <c r="K25" s="79">
        <v>2350.75</v>
      </c>
      <c r="L25" s="40" t="s">
        <v>36</v>
      </c>
      <c r="N25" s="35"/>
      <c r="O25" s="61"/>
      <c r="P25" s="86"/>
      <c r="Q25" s="89"/>
    </row>
    <row r="26" spans="1:16" ht="15">
      <c r="A26" s="52" t="s">
        <v>4</v>
      </c>
      <c r="B26" s="78">
        <v>40947.943</v>
      </c>
      <c r="C26" s="73">
        <f>17461.804+19925.791-C20</f>
        <v>30693.802000000003</v>
      </c>
      <c r="D26" s="73">
        <f>19.197-D20</f>
        <v>19.197</v>
      </c>
      <c r="E26" s="36">
        <f>80.59-E20</f>
        <v>80.59</v>
      </c>
      <c r="F26" s="73">
        <f>2671.735-F20</f>
        <v>822.6740000000002</v>
      </c>
      <c r="G26" s="41">
        <v>0</v>
      </c>
      <c r="H26" s="36">
        <f>130.35-H20</f>
        <v>130.35</v>
      </c>
      <c r="I26" s="49">
        <f>637.478-I20</f>
        <v>637.478</v>
      </c>
      <c r="J26" s="49">
        <v>20.998</v>
      </c>
      <c r="K26" s="79">
        <v>2843.28</v>
      </c>
      <c r="L26" s="40" t="s">
        <v>36</v>
      </c>
      <c r="N26" s="35"/>
      <c r="O26" s="61"/>
      <c r="P26" s="86"/>
    </row>
    <row r="27" spans="1:17" ht="15">
      <c r="A27" s="52" t="s">
        <v>5</v>
      </c>
      <c r="B27" s="78">
        <v>8432.901</v>
      </c>
      <c r="C27" s="73">
        <f>4820.416+2941.137-C21</f>
        <v>7598.631</v>
      </c>
      <c r="D27" s="73">
        <f>10.332-D21</f>
        <v>10.332</v>
      </c>
      <c r="E27" s="36">
        <f>65.915-E21</f>
        <v>65.915</v>
      </c>
      <c r="F27" s="73">
        <f>459.339-F21</f>
        <v>456.9</v>
      </c>
      <c r="G27" s="41">
        <v>0</v>
      </c>
      <c r="H27" s="36">
        <v>16.563</v>
      </c>
      <c r="I27" s="49">
        <f>119.199-I21</f>
        <v>93.789</v>
      </c>
      <c r="J27" s="41">
        <v>0</v>
      </c>
      <c r="K27" s="79">
        <v>3653.5</v>
      </c>
      <c r="L27" s="40" t="s">
        <v>36</v>
      </c>
      <c r="O27" s="61"/>
      <c r="P27" s="86"/>
      <c r="Q27" s="89"/>
    </row>
    <row r="28" spans="1:17" s="56" customFormat="1" ht="15.75">
      <c r="A28" s="116" t="s">
        <v>6</v>
      </c>
      <c r="B28" s="98">
        <f>B29+B31+B32+B30</f>
        <v>40631.23499999999</v>
      </c>
      <c r="C28" s="98">
        <f>C29+C30+C31+C32</f>
        <v>39337.525</v>
      </c>
      <c r="D28" s="98">
        <f>D29+D31+D32</f>
        <v>125.098</v>
      </c>
      <c r="E28" s="98">
        <f aca="true" t="shared" si="3" ref="E28:J28">E29+E30+E31+E32</f>
        <v>152.437</v>
      </c>
      <c r="F28" s="98">
        <f t="shared" si="3"/>
        <v>999.386</v>
      </c>
      <c r="G28" s="98">
        <f t="shared" si="3"/>
        <v>0</v>
      </c>
      <c r="H28" s="98">
        <f t="shared" si="3"/>
        <v>0</v>
      </c>
      <c r="I28" s="98">
        <f t="shared" si="3"/>
        <v>16.789</v>
      </c>
      <c r="J28" s="98">
        <f t="shared" si="3"/>
        <v>0</v>
      </c>
      <c r="K28" s="81"/>
      <c r="L28" s="117"/>
      <c r="Q28" s="91"/>
    </row>
    <row r="29" spans="1:12" s="56" customFormat="1" ht="15">
      <c r="A29" s="92" t="s">
        <v>7</v>
      </c>
      <c r="B29" s="78">
        <f>SUM(C29:I29)</f>
        <v>17272.342</v>
      </c>
      <c r="C29" s="93">
        <f>6191.27+8921.665+310.113+782.285</f>
        <v>16205.333</v>
      </c>
      <c r="D29" s="119">
        <f>51.277+0.735</f>
        <v>52.012</v>
      </c>
      <c r="E29" s="94">
        <f>98.282+0.491</f>
        <v>98.773</v>
      </c>
      <c r="F29" s="73">
        <f>825.346+74.776</f>
        <v>900.122</v>
      </c>
      <c r="G29" s="95">
        <v>0</v>
      </c>
      <c r="H29" s="96">
        <v>0</v>
      </c>
      <c r="I29" s="118">
        <f>15.621+0.481</f>
        <v>16.102</v>
      </c>
      <c r="J29" s="118">
        <v>0</v>
      </c>
      <c r="K29" s="83">
        <v>1779.16</v>
      </c>
      <c r="L29" s="97" t="s">
        <v>36</v>
      </c>
    </row>
    <row r="30" spans="1:12" s="56" customFormat="1" ht="15">
      <c r="A30" s="92" t="s">
        <v>54</v>
      </c>
      <c r="B30" s="78">
        <v>566.003</v>
      </c>
      <c r="C30" s="119">
        <f>517.143+30.828</f>
        <v>547.971</v>
      </c>
      <c r="D30" s="119">
        <v>0</v>
      </c>
      <c r="E30" s="94">
        <v>22.968</v>
      </c>
      <c r="F30" s="73">
        <v>-5.623</v>
      </c>
      <c r="G30" s="95">
        <v>0</v>
      </c>
      <c r="H30" s="96">
        <v>0</v>
      </c>
      <c r="I30" s="118">
        <v>0.687</v>
      </c>
      <c r="J30" s="118">
        <v>0</v>
      </c>
      <c r="K30" s="83">
        <v>1200.76</v>
      </c>
      <c r="L30" s="97" t="s">
        <v>36</v>
      </c>
    </row>
    <row r="31" spans="1:17" s="56" customFormat="1" ht="24" customHeight="1">
      <c r="A31" s="92" t="s">
        <v>8</v>
      </c>
      <c r="B31" s="78">
        <f>SUM(C31:I31)</f>
        <v>21741.119</v>
      </c>
      <c r="C31" s="93">
        <f>20050.962+1501.334</f>
        <v>21552.296</v>
      </c>
      <c r="D31" s="93">
        <v>73.086</v>
      </c>
      <c r="E31" s="94">
        <v>30.696</v>
      </c>
      <c r="F31" s="73">
        <v>85.041</v>
      </c>
      <c r="G31" s="95">
        <v>0</v>
      </c>
      <c r="H31" s="96">
        <v>0</v>
      </c>
      <c r="I31" s="95">
        <v>0</v>
      </c>
      <c r="J31" s="95">
        <v>0</v>
      </c>
      <c r="K31" s="83">
        <v>1200.76</v>
      </c>
      <c r="L31" s="97" t="s">
        <v>36</v>
      </c>
      <c r="Q31" s="91"/>
    </row>
    <row r="32" spans="1:17" s="56" customFormat="1" ht="15">
      <c r="A32" s="92" t="s">
        <v>9</v>
      </c>
      <c r="B32" s="78">
        <v>1051.771</v>
      </c>
      <c r="C32" s="94">
        <f>21.266+1010.659</f>
        <v>1031.925</v>
      </c>
      <c r="D32" s="94">
        <v>0</v>
      </c>
      <c r="E32" s="94">
        <v>0</v>
      </c>
      <c r="F32" s="94">
        <v>19.846</v>
      </c>
      <c r="G32" s="95">
        <v>0</v>
      </c>
      <c r="H32" s="96">
        <v>0</v>
      </c>
      <c r="I32" s="95">
        <v>0</v>
      </c>
      <c r="J32" s="95">
        <v>0</v>
      </c>
      <c r="K32" s="83">
        <v>1200.76</v>
      </c>
      <c r="L32" s="97" t="s">
        <v>36</v>
      </c>
      <c r="Q32" s="91"/>
    </row>
    <row r="33" spans="1:14" ht="15">
      <c r="A33" s="52"/>
      <c r="B33" s="102"/>
      <c r="C33" s="102"/>
      <c r="D33" s="102">
        <v>0</v>
      </c>
      <c r="E33" s="102"/>
      <c r="F33" s="102"/>
      <c r="G33" s="102"/>
      <c r="H33" s="102"/>
      <c r="I33" s="102"/>
      <c r="J33" s="102"/>
      <c r="K33" s="102"/>
      <c r="L33" s="102"/>
      <c r="N33" s="35"/>
    </row>
    <row r="34" spans="1:17" ht="15.75">
      <c r="A34" s="69" t="s">
        <v>45</v>
      </c>
      <c r="B34" s="98">
        <f aca="true" t="shared" si="4" ref="B34:J34">SUM(B35:B38)</f>
        <v>5638.784000000001</v>
      </c>
      <c r="C34" s="103">
        <f t="shared" si="4"/>
        <v>4646.409000000001</v>
      </c>
      <c r="D34" s="103">
        <f t="shared" si="4"/>
        <v>0</v>
      </c>
      <c r="E34" s="103">
        <f t="shared" si="4"/>
        <v>532.882</v>
      </c>
      <c r="F34" s="103">
        <f t="shared" si="4"/>
        <v>226.56900000000002</v>
      </c>
      <c r="G34" s="103">
        <f t="shared" si="4"/>
        <v>78.476</v>
      </c>
      <c r="H34" s="103">
        <f t="shared" si="4"/>
        <v>0</v>
      </c>
      <c r="I34" s="103">
        <f t="shared" si="4"/>
        <v>154.448</v>
      </c>
      <c r="J34" s="103">
        <f t="shared" si="4"/>
        <v>0</v>
      </c>
      <c r="K34" s="104"/>
      <c r="L34" s="105"/>
      <c r="Q34" s="89"/>
    </row>
    <row r="35" spans="1:13" ht="15">
      <c r="A35" s="52" t="s">
        <v>2</v>
      </c>
      <c r="B35" s="21">
        <v>2668.658</v>
      </c>
      <c r="C35" s="45">
        <v>2057.364</v>
      </c>
      <c r="D35" s="45">
        <v>0</v>
      </c>
      <c r="E35" s="37">
        <v>532.818</v>
      </c>
      <c r="F35" s="94">
        <v>0</v>
      </c>
      <c r="G35" s="49">
        <v>78.476</v>
      </c>
      <c r="H35" s="72">
        <v>0</v>
      </c>
      <c r="I35" s="41">
        <v>0</v>
      </c>
      <c r="J35" s="41">
        <v>0</v>
      </c>
      <c r="K35" s="31"/>
      <c r="L35" s="40"/>
      <c r="M35" s="37"/>
    </row>
    <row r="36" spans="1:17" ht="15">
      <c r="A36" s="52" t="s">
        <v>3</v>
      </c>
      <c r="B36" s="21">
        <f>SUM(C36:I36)</f>
        <v>343.609</v>
      </c>
      <c r="C36" s="45">
        <v>343.609</v>
      </c>
      <c r="D36" s="115">
        <v>0</v>
      </c>
      <c r="E36" s="2">
        <v>0</v>
      </c>
      <c r="F36" s="94">
        <v>0</v>
      </c>
      <c r="G36" s="49">
        <v>0</v>
      </c>
      <c r="H36" s="72">
        <v>0</v>
      </c>
      <c r="I36" s="41">
        <v>0</v>
      </c>
      <c r="J36" s="41">
        <v>0</v>
      </c>
      <c r="K36" s="31"/>
      <c r="L36" s="40"/>
      <c r="Q36" s="89"/>
    </row>
    <row r="37" spans="1:17" ht="15">
      <c r="A37" s="52" t="s">
        <v>4</v>
      </c>
      <c r="B37" s="21">
        <v>2370.654</v>
      </c>
      <c r="C37" s="44">
        <f>1832.452+270.381</f>
        <v>2102.833</v>
      </c>
      <c r="D37" s="44">
        <v>0</v>
      </c>
      <c r="E37" s="37">
        <v>0.064</v>
      </c>
      <c r="F37" s="94">
        <v>171.685</v>
      </c>
      <c r="G37" s="49">
        <v>0</v>
      </c>
      <c r="H37" s="49">
        <v>0</v>
      </c>
      <c r="I37" s="49">
        <v>96.072</v>
      </c>
      <c r="J37" s="49">
        <v>0</v>
      </c>
      <c r="K37" s="31"/>
      <c r="L37" s="40"/>
      <c r="Q37" s="89"/>
    </row>
    <row r="38" spans="1:12" ht="15">
      <c r="A38" s="52" t="s">
        <v>5</v>
      </c>
      <c r="B38" s="21">
        <v>255.863</v>
      </c>
      <c r="C38" s="70">
        <f>128.294+14.309</f>
        <v>142.603</v>
      </c>
      <c r="D38" s="70">
        <v>0</v>
      </c>
      <c r="E38" s="37">
        <v>0</v>
      </c>
      <c r="F38" s="94">
        <v>54.884</v>
      </c>
      <c r="G38" s="49">
        <v>0</v>
      </c>
      <c r="H38" s="49">
        <v>0</v>
      </c>
      <c r="I38" s="49">
        <v>58.376</v>
      </c>
      <c r="J38" s="49">
        <v>0</v>
      </c>
      <c r="K38" s="31"/>
      <c r="L38" s="40"/>
    </row>
    <row r="39" spans="1:12" ht="15.75">
      <c r="A39" s="50" t="s">
        <v>6</v>
      </c>
      <c r="B39" s="21">
        <f>B40</f>
        <v>0</v>
      </c>
      <c r="C39" s="21">
        <v>0</v>
      </c>
      <c r="D39" s="21">
        <v>0</v>
      </c>
      <c r="E39" s="21">
        <v>0</v>
      </c>
      <c r="F39" s="78">
        <v>0</v>
      </c>
      <c r="G39" s="21">
        <v>0</v>
      </c>
      <c r="H39" s="21">
        <v>0</v>
      </c>
      <c r="I39" s="21">
        <v>0</v>
      </c>
      <c r="J39" s="21">
        <v>0</v>
      </c>
      <c r="K39" s="31"/>
      <c r="L39" s="40"/>
    </row>
    <row r="40" spans="1:12" ht="15">
      <c r="A40" s="52" t="s">
        <v>8</v>
      </c>
      <c r="B40" s="21">
        <f>SUM(C40:I40)</f>
        <v>0</v>
      </c>
      <c r="C40" s="45">
        <v>0</v>
      </c>
      <c r="D40" s="45"/>
      <c r="E40" s="37">
        <v>0</v>
      </c>
      <c r="F40" s="94">
        <v>0</v>
      </c>
      <c r="G40" s="41">
        <v>0</v>
      </c>
      <c r="H40" s="55">
        <v>0</v>
      </c>
      <c r="I40" s="41">
        <v>0</v>
      </c>
      <c r="J40" s="41">
        <v>0</v>
      </c>
      <c r="K40" s="31"/>
      <c r="L40" s="40"/>
    </row>
    <row r="41" spans="1:12" ht="34.5" customHeight="1">
      <c r="A41" s="50" t="s">
        <v>25</v>
      </c>
      <c r="B41" s="43">
        <f>B34+B28+B23+B39</f>
        <v>103258.34999999999</v>
      </c>
      <c r="C41" s="43">
        <f aca="true" t="shared" si="5" ref="C41:J41">C34+C28+C23+C39+C17</f>
        <v>96346.948</v>
      </c>
      <c r="D41" s="43">
        <f t="shared" si="5"/>
        <v>374.82</v>
      </c>
      <c r="E41" s="43">
        <f t="shared" si="5"/>
        <v>943.51</v>
      </c>
      <c r="F41" s="110">
        <f t="shared" si="5"/>
        <v>4357.029</v>
      </c>
      <c r="G41" s="43">
        <f t="shared" si="5"/>
        <v>140.218</v>
      </c>
      <c r="H41" s="43">
        <f t="shared" si="5"/>
        <v>146.91299999999998</v>
      </c>
      <c r="I41" s="43">
        <f t="shared" si="5"/>
        <v>927.9139999999999</v>
      </c>
      <c r="J41" s="43">
        <f t="shared" si="5"/>
        <v>20.998</v>
      </c>
      <c r="K41" s="4"/>
      <c r="L41" s="38"/>
    </row>
    <row r="42" spans="2:10" ht="16.5" customHeight="1">
      <c r="B42" s="35"/>
      <c r="C42" s="35"/>
      <c r="D42" s="35"/>
      <c r="E42" s="35"/>
      <c r="F42" s="35"/>
      <c r="G42" s="35"/>
      <c r="H42" s="35"/>
      <c r="I42" s="35"/>
      <c r="J42" s="35"/>
    </row>
    <row r="43" spans="2:10" ht="12.75">
      <c r="B43" s="35"/>
      <c r="C43" s="120"/>
      <c r="D43" s="122"/>
      <c r="E43" s="120"/>
      <c r="F43" s="120"/>
      <c r="G43" s="120"/>
      <c r="H43" s="120"/>
      <c r="I43" s="120"/>
      <c r="J43" s="120"/>
    </row>
    <row r="44" ht="12.75">
      <c r="B44" s="35"/>
    </row>
    <row r="45" spans="3:4" ht="12.75">
      <c r="C45" s="35"/>
      <c r="D45" s="35"/>
    </row>
    <row r="52" ht="12.75">
      <c r="E52" t="s">
        <v>55</v>
      </c>
    </row>
  </sheetData>
  <sheetProtection/>
  <mergeCells count="5">
    <mergeCell ref="A1:K1"/>
    <mergeCell ref="A5:K5"/>
    <mergeCell ref="A8:A9"/>
    <mergeCell ref="B8:B9"/>
    <mergeCell ref="C8:I8"/>
  </mergeCells>
  <printOptions/>
  <pageMargins left="0.2362204724409449" right="0.2755905511811024" top="0.1968503937007874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37" t="s">
        <v>44</v>
      </c>
      <c r="B1" s="137"/>
      <c r="C1" s="137"/>
      <c r="D1" s="13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29" t="s">
        <v>28</v>
      </c>
      <c r="B5" s="129"/>
      <c r="C5" s="129"/>
      <c r="D5" s="129"/>
      <c r="E5" s="3"/>
      <c r="F5" s="3"/>
      <c r="G5" s="3"/>
    </row>
    <row r="7" ht="15">
      <c r="A7" s="2" t="s">
        <v>48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28" t="s">
        <v>40</v>
      </c>
      <c r="B1" s="128"/>
      <c r="C1" s="128"/>
      <c r="D1" s="128"/>
      <c r="E1" s="12"/>
    </row>
    <row r="2" spans="1:4" ht="15">
      <c r="A2" s="2"/>
      <c r="B2" s="2"/>
      <c r="C2" s="2"/>
      <c r="D2" s="2"/>
    </row>
    <row r="3" spans="1:4" ht="15">
      <c r="A3" s="2" t="s">
        <v>49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38" t="s">
        <v>15</v>
      </c>
      <c r="B5" s="138"/>
      <c r="C5" s="138"/>
      <c r="D5" s="138"/>
      <c r="E5" s="16"/>
    </row>
    <row r="6" spans="1:5" ht="42" customHeight="1">
      <c r="A6" s="15" t="s">
        <v>20</v>
      </c>
      <c r="B6" s="17" t="str">
        <f>'Полезный отпуск'!B6</f>
        <v> март 2021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40" t="s">
        <v>14</v>
      </c>
      <c r="B8" s="140"/>
      <c r="C8" s="140" t="s">
        <v>18</v>
      </c>
      <c r="D8" s="140"/>
    </row>
    <row r="9" spans="1:4" ht="15">
      <c r="A9" s="46" t="s">
        <v>16</v>
      </c>
      <c r="B9" s="46" t="s">
        <v>17</v>
      </c>
      <c r="C9" s="46" t="s">
        <v>16</v>
      </c>
      <c r="D9" s="46" t="s">
        <v>17</v>
      </c>
    </row>
    <row r="10" spans="1:4" ht="18.75">
      <c r="A10" s="19">
        <f>'Полезный отпуск'!B41</f>
        <v>103258.34999999999</v>
      </c>
      <c r="B10" s="155">
        <v>225.151</v>
      </c>
      <c r="C10" s="18">
        <f>'Полезный отпуск'!B28</f>
        <v>40631.23499999999</v>
      </c>
      <c r="D10" s="19">
        <f>ROUND(C10/4937*12,3)</f>
        <v>98.759</v>
      </c>
    </row>
    <row r="11" spans="1:5" ht="12.75">
      <c r="A11" s="29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39"/>
      <c r="B23" s="139"/>
      <c r="C23" s="139"/>
      <c r="D23" s="139"/>
      <c r="E23" s="13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</row>
    <row r="25" spans="1:58" ht="153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21" sqref="H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41" t="s">
        <v>41</v>
      </c>
      <c r="B1" s="141"/>
      <c r="C1" s="141"/>
      <c r="D1" s="141"/>
    </row>
    <row r="2" spans="1:4" ht="15">
      <c r="A2" s="22"/>
      <c r="B2" s="22"/>
      <c r="C2" s="22"/>
      <c r="D2" s="22"/>
    </row>
    <row r="3" spans="1:4" ht="15">
      <c r="A3" s="22" t="s">
        <v>50</v>
      </c>
      <c r="B3" s="22"/>
      <c r="C3" s="22"/>
      <c r="D3" s="22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4" ht="15">
      <c r="A7" s="22"/>
      <c r="B7" s="22"/>
      <c r="C7" s="22"/>
      <c r="D7" s="22"/>
    </row>
    <row r="8" spans="1:4" ht="15">
      <c r="A8" s="22"/>
      <c r="B8" s="22"/>
      <c r="C8" s="22"/>
      <c r="D8" s="22"/>
    </row>
    <row r="9" spans="1:4" ht="15">
      <c r="A9" s="22"/>
      <c r="B9" s="22"/>
      <c r="C9" s="22"/>
      <c r="D9" s="22"/>
    </row>
    <row r="10" spans="1:4" ht="15">
      <c r="A10" s="22"/>
      <c r="B10" s="22"/>
      <c r="C10" s="22"/>
      <c r="D10" s="22"/>
    </row>
    <row r="11" spans="1:4" ht="15" customHeight="1">
      <c r="A11" s="150" t="s">
        <v>31</v>
      </c>
      <c r="B11" s="150"/>
      <c r="C11" s="150"/>
      <c r="D11" s="150"/>
    </row>
    <row r="12" spans="1:4" ht="24" customHeight="1">
      <c r="A12" s="23" t="s">
        <v>20</v>
      </c>
      <c r="B12" s="24" t="str">
        <f>'Полезный отпуск'!B6</f>
        <v> март 2021 г.</v>
      </c>
      <c r="C12" s="22"/>
      <c r="D12" s="22"/>
    </row>
    <row r="13" spans="1:4" ht="15">
      <c r="A13" s="22"/>
      <c r="B13" s="22"/>
      <c r="C13" s="22"/>
      <c r="D13" s="22"/>
    </row>
    <row r="14" spans="1:4" ht="41.25" customHeight="1">
      <c r="A14" s="47" t="s">
        <v>26</v>
      </c>
      <c r="B14" s="48" t="s">
        <v>27</v>
      </c>
      <c r="C14" s="142" t="s">
        <v>12</v>
      </c>
      <c r="D14" s="143"/>
    </row>
    <row r="15" spans="1:6" ht="15">
      <c r="A15" s="47" t="s">
        <v>11</v>
      </c>
      <c r="B15" s="25" t="s">
        <v>11</v>
      </c>
      <c r="C15" s="144">
        <v>0</v>
      </c>
      <c r="D15" s="145"/>
      <c r="E15" s="152"/>
      <c r="F15" s="153"/>
    </row>
    <row r="16" spans="1:6" ht="15">
      <c r="A16" s="47" t="s">
        <v>30</v>
      </c>
      <c r="B16" s="25" t="s">
        <v>30</v>
      </c>
      <c r="C16" s="144">
        <v>0</v>
      </c>
      <c r="D16" s="145"/>
      <c r="E16" s="152"/>
      <c r="F16" s="153"/>
    </row>
    <row r="17" spans="1:6" ht="15">
      <c r="A17" s="47" t="s">
        <v>13</v>
      </c>
      <c r="B17" s="26" t="s">
        <v>13</v>
      </c>
      <c r="C17" s="144">
        <v>0</v>
      </c>
      <c r="D17" s="145"/>
      <c r="E17" s="152"/>
      <c r="F17" s="153"/>
    </row>
    <row r="18" spans="1:6" ht="15">
      <c r="A18" s="151" t="s">
        <v>21</v>
      </c>
      <c r="B18" s="151"/>
      <c r="C18" s="146">
        <f>SUM(C15:C17)</f>
        <v>0</v>
      </c>
      <c r="D18" s="147"/>
      <c r="E18" s="152"/>
      <c r="F18" s="153"/>
    </row>
    <row r="19" spans="1:5" ht="15">
      <c r="A19" s="27"/>
      <c r="B19" s="27"/>
      <c r="C19" s="28"/>
      <c r="D19" s="27"/>
      <c r="E19" s="8"/>
    </row>
    <row r="20" spans="1:4" ht="33" customHeight="1">
      <c r="A20" s="149" t="s">
        <v>39</v>
      </c>
      <c r="B20" s="149"/>
      <c r="C20" s="149"/>
      <c r="D20" s="149"/>
    </row>
    <row r="21" spans="1:4" ht="96.75" customHeight="1">
      <c r="A21" s="148" t="s">
        <v>43</v>
      </c>
      <c r="B21" s="148"/>
      <c r="C21" s="148"/>
      <c r="D21" s="148"/>
    </row>
    <row r="22" spans="1:4" ht="67.5" customHeight="1">
      <c r="A22" s="148" t="s">
        <v>42</v>
      </c>
      <c r="B22" s="148"/>
      <c r="C22" s="148"/>
      <c r="D22" s="148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21:D21"/>
    <mergeCell ref="A22:D22"/>
    <mergeCell ref="A20:D20"/>
    <mergeCell ref="A11:D11"/>
    <mergeCell ref="A18:B18"/>
    <mergeCell ref="E15:F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41" t="s">
        <v>10</v>
      </c>
      <c r="B1" s="141"/>
      <c r="C1" s="141"/>
      <c r="D1" s="141"/>
    </row>
    <row r="2" spans="1:4" ht="15">
      <c r="A2" s="22"/>
      <c r="B2" s="22"/>
      <c r="C2" s="22"/>
      <c r="D2" s="22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 март 2021 г.</v>
      </c>
    </row>
    <row r="5" spans="1:4" ht="39" customHeight="1">
      <c r="A5" s="154" t="s">
        <v>51</v>
      </c>
      <c r="B5" s="154"/>
      <c r="C5" s="154"/>
      <c r="D5" s="15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2021-04-20T06:25:06Z</cp:lastPrinted>
  <dcterms:created xsi:type="dcterms:W3CDTF">2009-10-22T06:15:03Z</dcterms:created>
  <dcterms:modified xsi:type="dcterms:W3CDTF">2021-04-20T06:43:14Z</dcterms:modified>
  <cp:category/>
  <cp:version/>
  <cp:contentType/>
  <cp:contentStatus/>
</cp:coreProperties>
</file>